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6 VI ESTADÍSTICAS FISCALES\1 Ingresos\OK GED HISTÓRICO\Cierre 2021\"/>
    </mc:Choice>
  </mc:AlternateContent>
  <bookViews>
    <workbookView xWindow="165" yWindow="75" windowWidth="15480" windowHeight="11640"/>
  </bookViews>
  <sheets>
    <sheet name="Ingresos Totales" sheetId="1" r:id="rId1"/>
  </sheets>
  <definedNames>
    <definedName name="_xlnm.Print_Area" localSheetId="0">'Ingresos Totales'!$C$2:$R$98</definedName>
    <definedName name="_xlnm.Print_Titles" localSheetId="0">'Ingresos Totales'!$1:$9</definedName>
  </definedNames>
  <calcPr calcId="152511"/>
</workbook>
</file>

<file path=xl/calcChain.xml><?xml version="1.0" encoding="utf-8"?>
<calcChain xmlns="http://schemas.openxmlformats.org/spreadsheetml/2006/main">
  <c r="V73" i="1" l="1"/>
  <c r="U48" i="1"/>
  <c r="U45" i="1"/>
  <c r="V48" i="1"/>
  <c r="V45" i="1"/>
  <c r="V38" i="1"/>
  <c r="U96" i="1" l="1"/>
  <c r="U90" i="1"/>
  <c r="U75" i="1"/>
  <c r="U73" i="1"/>
  <c r="U71" i="1"/>
  <c r="U46" i="1"/>
  <c r="U98" i="1" s="1"/>
  <c r="U41" i="1"/>
  <c r="U38" i="1"/>
  <c r="U35" i="1"/>
  <c r="U21" i="1"/>
  <c r="T96" i="1" l="1"/>
  <c r="T90" i="1"/>
  <c r="T75" i="1"/>
  <c r="T73" i="1"/>
  <c r="T65" i="1"/>
  <c r="T64" i="1"/>
  <c r="T71" i="1" s="1"/>
  <c r="T45" i="1"/>
  <c r="T46" i="1" s="1"/>
  <c r="T41" i="1"/>
  <c r="T38" i="1"/>
  <c r="T35" i="1"/>
  <c r="T19" i="1"/>
  <c r="T21" i="1" s="1"/>
  <c r="T48" i="1" s="1"/>
  <c r="T98" i="1" s="1"/>
  <c r="S73" i="1" l="1"/>
  <c r="V96" i="1" l="1"/>
  <c r="V90" i="1"/>
  <c r="V75" i="1"/>
  <c r="V46" i="1"/>
  <c r="V41" i="1"/>
  <c r="V35" i="1"/>
  <c r="V21" i="1"/>
  <c r="V71" i="1" l="1"/>
  <c r="V98" i="1" s="1"/>
  <c r="S96" i="1"/>
  <c r="S90" i="1"/>
  <c r="S75" i="1"/>
  <c r="S65" i="1"/>
  <c r="S71" i="1" s="1"/>
  <c r="S45" i="1"/>
  <c r="S46" i="1" s="1"/>
  <c r="S38" i="1"/>
  <c r="S41" i="1" s="1"/>
  <c r="S35" i="1"/>
  <c r="S21" i="1"/>
  <c r="S48" i="1" l="1"/>
  <c r="S98" i="1" s="1"/>
  <c r="O96" i="1"/>
  <c r="N96" i="1"/>
  <c r="M96" i="1"/>
  <c r="K96" i="1"/>
  <c r="E96" i="1"/>
  <c r="D96" i="1"/>
  <c r="Q19" i="1"/>
  <c r="Q21" i="1" s="1"/>
  <c r="P19" i="1"/>
  <c r="O16" i="1"/>
  <c r="O21" i="1" s="1"/>
  <c r="M33" i="1"/>
  <c r="M31" i="1"/>
  <c r="L62" i="1"/>
  <c r="K62" i="1"/>
  <c r="K59" i="1"/>
  <c r="J64" i="1"/>
  <c r="J71" i="1" s="1"/>
  <c r="E29" i="1"/>
  <c r="E47" i="1"/>
  <c r="E25" i="1"/>
  <c r="E23" i="1"/>
  <c r="E35" i="1" s="1"/>
  <c r="E38" i="1"/>
  <c r="E39" i="1"/>
  <c r="E17" i="1"/>
  <c r="E21" i="1"/>
  <c r="E28" i="1"/>
  <c r="E4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Q75" i="1"/>
  <c r="P75" i="1"/>
  <c r="O75" i="1"/>
  <c r="N75" i="1"/>
  <c r="M75" i="1"/>
  <c r="L75" i="1"/>
  <c r="J75" i="1"/>
  <c r="I75" i="1"/>
  <c r="H75" i="1"/>
  <c r="G75" i="1"/>
  <c r="F75" i="1"/>
  <c r="E75" i="1"/>
  <c r="D75" i="1"/>
  <c r="I71" i="1"/>
  <c r="H71" i="1"/>
  <c r="G71" i="1"/>
  <c r="F71" i="1"/>
  <c r="E71" i="1"/>
  <c r="D71" i="1"/>
  <c r="J46" i="1"/>
  <c r="I46" i="1"/>
  <c r="H46" i="1"/>
  <c r="G46" i="1"/>
  <c r="F46" i="1"/>
  <c r="E46" i="1"/>
  <c r="D46" i="1"/>
  <c r="J41" i="1"/>
  <c r="I41" i="1"/>
  <c r="H41" i="1"/>
  <c r="G41" i="1"/>
  <c r="F41" i="1"/>
  <c r="D41" i="1"/>
  <c r="R35" i="1"/>
  <c r="Q35" i="1"/>
  <c r="P35" i="1"/>
  <c r="K35" i="1"/>
  <c r="J35" i="1"/>
  <c r="I35" i="1"/>
  <c r="H35" i="1"/>
  <c r="G35" i="1"/>
  <c r="G48" i="1" s="1"/>
  <c r="F35" i="1"/>
  <c r="D35" i="1"/>
  <c r="G21" i="1"/>
  <c r="F21" i="1"/>
  <c r="D21" i="1"/>
  <c r="R65" i="1"/>
  <c r="R63" i="1"/>
  <c r="R62" i="1"/>
  <c r="R71" i="1" s="1"/>
  <c r="R45" i="1"/>
  <c r="R46" i="1" s="1"/>
  <c r="R38" i="1"/>
  <c r="R41" i="1" s="1"/>
  <c r="R75" i="1"/>
  <c r="R90" i="1"/>
  <c r="R21" i="1"/>
  <c r="Q96" i="1"/>
  <c r="P63" i="1"/>
  <c r="Q63" i="1"/>
  <c r="Q65" i="1"/>
  <c r="P65" i="1"/>
  <c r="Q45" i="1"/>
  <c r="Q46" i="1"/>
  <c r="P45" i="1"/>
  <c r="P46" i="1" s="1"/>
  <c r="P37" i="1"/>
  <c r="Q38" i="1"/>
  <c r="Q41" i="1"/>
  <c r="P38" i="1"/>
  <c r="P21" i="1"/>
  <c r="O62" i="1"/>
  <c r="O57" i="1"/>
  <c r="O63" i="1"/>
  <c r="O23" i="1"/>
  <c r="O35" i="1" s="1"/>
  <c r="O65" i="1"/>
  <c r="O69" i="1"/>
  <c r="O68" i="1"/>
  <c r="O45" i="1"/>
  <c r="O46" i="1" s="1"/>
  <c r="O38" i="1"/>
  <c r="O41" i="1" s="1"/>
  <c r="N62" i="1"/>
  <c r="N69" i="1"/>
  <c r="N68" i="1" s="1"/>
  <c r="N63" i="1"/>
  <c r="N57" i="1"/>
  <c r="N45" i="1"/>
  <c r="N46" i="1" s="1"/>
  <c r="N38" i="1"/>
  <c r="N41" i="1" s="1"/>
  <c r="N34" i="1"/>
  <c r="N35" i="1" s="1"/>
  <c r="N21" i="1"/>
  <c r="M69" i="1"/>
  <c r="M68" i="1"/>
  <c r="M63" i="1"/>
  <c r="M62" i="1"/>
  <c r="M45" i="1"/>
  <c r="M46" i="1" s="1"/>
  <c r="M38" i="1"/>
  <c r="M41" i="1" s="1"/>
  <c r="M21" i="1"/>
  <c r="L63" i="1"/>
  <c r="L45" i="1"/>
  <c r="L46" i="1" s="1"/>
  <c r="L39" i="1"/>
  <c r="L37" i="1"/>
  <c r="L38" i="1"/>
  <c r="L34" i="1"/>
  <c r="L35" i="1" s="1"/>
  <c r="L21" i="1"/>
  <c r="K73" i="1"/>
  <c r="K75" i="1" s="1"/>
  <c r="K69" i="1"/>
  <c r="K68" i="1"/>
  <c r="K63" i="1"/>
  <c r="K45" i="1"/>
  <c r="K46" i="1" s="1"/>
  <c r="K38" i="1"/>
  <c r="K41" i="1" s="1"/>
  <c r="K21" i="1"/>
  <c r="P41" i="1"/>
  <c r="P71" i="1"/>
  <c r="L41" i="1" l="1"/>
  <c r="L48" i="1" s="1"/>
  <c r="K48" i="1"/>
  <c r="K98" i="1" s="1"/>
  <c r="O71" i="1"/>
  <c r="Q48" i="1"/>
  <c r="Q71" i="1"/>
  <c r="D48" i="1"/>
  <c r="D98" i="1" s="1"/>
  <c r="J48" i="1"/>
  <c r="H48" i="1"/>
  <c r="H98" i="1" s="1"/>
  <c r="I48" i="1"/>
  <c r="I98" i="1" s="1"/>
  <c r="E41" i="1"/>
  <c r="E48" i="1" s="1"/>
  <c r="E98" i="1" s="1"/>
  <c r="M35" i="1"/>
  <c r="R48" i="1"/>
  <c r="R98" i="1" s="1"/>
  <c r="M71" i="1"/>
  <c r="G98" i="1"/>
  <c r="F48" i="1"/>
  <c r="F98" i="1" s="1"/>
  <c r="K71" i="1"/>
  <c r="J98" i="1"/>
  <c r="M48" i="1"/>
  <c r="L71" i="1"/>
  <c r="P48" i="1"/>
  <c r="P98" i="1" s="1"/>
  <c r="O48" i="1"/>
  <c r="O98" i="1" s="1"/>
  <c r="N48" i="1"/>
  <c r="N71" i="1"/>
  <c r="Q98" i="1"/>
  <c r="M98" i="1" l="1"/>
  <c r="N98" i="1"/>
  <c r="L98" i="1"/>
</calcChain>
</file>

<file path=xl/sharedStrings.xml><?xml version="1.0" encoding="utf-8"?>
<sst xmlns="http://schemas.openxmlformats.org/spreadsheetml/2006/main" count="86" uniqueCount="86">
  <si>
    <t>IMPUESTOS</t>
  </si>
  <si>
    <t>Materiales y Suministros</t>
  </si>
  <si>
    <t xml:space="preserve">C O N C E P T O </t>
  </si>
  <si>
    <t>NÓMINA</t>
  </si>
  <si>
    <t>HOSPEDAJE</t>
  </si>
  <si>
    <t>JUEGOS, RIFAS, APUESTAS</t>
  </si>
  <si>
    <t>ENAJENACIÓN DE VEHÍCULOS</t>
  </si>
  <si>
    <t>MODERNIZACIÒN DE REGISTROS PÙBLICOS</t>
  </si>
  <si>
    <t>HONORARIOS MÉDICOS</t>
  </si>
  <si>
    <t>SERV. DEL REGISTRO PÚBLICO DE LA PROPIEDAD</t>
  </si>
  <si>
    <t>LEGALIZACIÓN DE FIRMAS</t>
  </si>
  <si>
    <t>ACTOS DEL REGISTRO CIVIL</t>
  </si>
  <si>
    <t>5 AL MILLAR SOBRE OBRA PÚBLICA</t>
  </si>
  <si>
    <t>SERVICIOS DE CONTROL VEHICULAR</t>
  </si>
  <si>
    <t>SERVICIOS CATASTRALES</t>
  </si>
  <si>
    <t>LICENCIAS INSPECCIÓN, REVISIÓN Y SUPERVISIÓN</t>
  </si>
  <si>
    <t>SERVICIOS DE ACCESO A LA INFORMACIÒN</t>
  </si>
  <si>
    <t>SERVICIOS PRESTADOS POR SECRETARÌA DE SALUD</t>
  </si>
  <si>
    <t>SERVICIOS DE LA SECRETARÍA DE REC. NATURALES</t>
  </si>
  <si>
    <t>SERVICIOS DE LA SECRETARÍA DE SEGURIDAD PÚB.</t>
  </si>
  <si>
    <t>EXPLOTACION DE BIENES DEL ESTADO</t>
  </si>
  <si>
    <t>ESTABLECIMIENTOS DEPENDIENTES DEL EDO.</t>
  </si>
  <si>
    <t>OTROS(RENDIMIENTOS DE CAPITAL)</t>
  </si>
  <si>
    <t>PRODUCTOS</t>
  </si>
  <si>
    <t>RECARGOS</t>
  </si>
  <si>
    <t>MULTAS</t>
  </si>
  <si>
    <t>DIVERSOS</t>
  </si>
  <si>
    <t xml:space="preserve"> APROVECHAMIENTOS</t>
  </si>
  <si>
    <t>OTROS INGRESOS ESTATALES</t>
  </si>
  <si>
    <t xml:space="preserve">TOTAL INGRESOS PROPIOS </t>
  </si>
  <si>
    <t>INGRESOS POR MONETIZACIÓN DE ACTIVOS</t>
  </si>
  <si>
    <t>FONDO GENERAL</t>
  </si>
  <si>
    <t>FONDO DE FISCALIZACIÓN</t>
  </si>
  <si>
    <t>FONDO DE FOMENTO MUNICIPAL</t>
  </si>
  <si>
    <t>TENENCIA</t>
  </si>
  <si>
    <t>IMPUESTO ESPECIAL S/PRODUCCION Y SERVICIOS</t>
  </si>
  <si>
    <t>IEPS SOBRE VENTA DE GASOLINAS Y DIESEL</t>
  </si>
  <si>
    <t>IMPUESTO S/AUTOMOVILES NUEVOS</t>
  </si>
  <si>
    <t>FONDO DE COMPENSACIÓN DE ISAN</t>
  </si>
  <si>
    <t>INCENTIVOS DE FISCALIZACION</t>
  </si>
  <si>
    <t>OTROS INCENTIVOS DE FISCALIZACION</t>
  </si>
  <si>
    <t>CONTRIBUYENTES REPECOS E INTERMEDIOS</t>
  </si>
  <si>
    <t>CONTRIBUCION ENAJENACION DE INMUEBLES</t>
  </si>
  <si>
    <t>PROGRAMA PARA FISCALIZAC. DE GASTO FED.</t>
  </si>
  <si>
    <t>MULTAS ADMVAS. FEDERALES NO FISCALES</t>
  </si>
  <si>
    <t>RECARGOS FEDERALES</t>
  </si>
  <si>
    <t>MULTAS FEDERALES</t>
  </si>
  <si>
    <t>TOTAL DE PARTICIPACIONES FEDERALES</t>
  </si>
  <si>
    <t>OTROS INGRESOS (OTRAS REMESAS FED.)</t>
  </si>
  <si>
    <t>CRUZ ROJA</t>
  </si>
  <si>
    <t>TOTAL  INGRESOS EXTRAORDINARIOS</t>
  </si>
  <si>
    <t>EDUCACION BASICA Y NORMAL</t>
  </si>
  <si>
    <t>SERVICIOS DE SALUD</t>
  </si>
  <si>
    <t>INFRAESTRUCTURA SOCIAL MUNICIPAL</t>
  </si>
  <si>
    <t>INFRAESTRUCTURA SOCIAL ESTATAL</t>
  </si>
  <si>
    <t>FORTALECIMIENTO DE MUNICIPIOS</t>
  </si>
  <si>
    <t>MULTIPLE P/ASISTENCIA SOCIAL</t>
  </si>
  <si>
    <t>INFRAESTRUCTURA EDUCATIVA BÁSICA</t>
  </si>
  <si>
    <t>INFRAESTRUCTURA EDUCACION SUPERIOR</t>
  </si>
  <si>
    <t>EDUCACION TECNOLOGICA</t>
  </si>
  <si>
    <t>EDUCACION DE ADULTOS</t>
  </si>
  <si>
    <t>SEGURIDAD PUBLICA</t>
  </si>
  <si>
    <t>FORTALECIMIENTO DE ENTIDADES  FED.</t>
  </si>
  <si>
    <t>TOTAL FONDOS DE APORTACIONES</t>
  </si>
  <si>
    <t>PROGRAMA DE APOYO P/ENTIDADES FEDERATIVAS</t>
  </si>
  <si>
    <t xml:space="preserve"> TOTAL PAFEF</t>
  </si>
  <si>
    <t>INGRESOS POR FINANCIAMIENTO</t>
  </si>
  <si>
    <t>TOTAL INGRESOS POR FINANCIAMIENTO</t>
  </si>
  <si>
    <t>TOTAL DE INGRESOS RECIBIDOS</t>
  </si>
  <si>
    <t>DERECHOS</t>
  </si>
  <si>
    <t>Se omiten centavos</t>
  </si>
  <si>
    <t>TENENCIA ESTATAL</t>
  </si>
  <si>
    <t>ACCESORIOS DE LOS IMPUESTOS</t>
  </si>
  <si>
    <t>ACCESORIOS DE DERECHOS</t>
  </si>
  <si>
    <t>SERVICIOS (ADMINISTRATIVOS DE PREDIAL Y TELEFÉRICO)</t>
  </si>
  <si>
    <t>INFRAESTRUCTURA EDUCACION MEDIA SUPERIOR</t>
  </si>
  <si>
    <t>IMPUESTOS EJERCICIOS ANTERIORES</t>
  </si>
  <si>
    <t>FONDO DE COMPENSACIÓN DE REPECOS E INTERMEDIOS</t>
  </si>
  <si>
    <t>Gobierno del Estado de Durango</t>
  </si>
  <si>
    <t>Subsecretaría de Ingresos</t>
  </si>
  <si>
    <t>FONDO ISR</t>
  </si>
  <si>
    <t>FOMENTO A LA EDUCACIÓN</t>
  </si>
  <si>
    <t>Secretaría de Finanzas y de Administración</t>
  </si>
  <si>
    <t>FONDO DE ESTABILIZACIÓN DE LOS INGRESOS DE ENTIDADES FEDERATIVAS (FEIEF)</t>
  </si>
  <si>
    <t>Evolución de los Ingresos (Desglose) 2004-2021</t>
  </si>
  <si>
    <t>AL 31 MARZO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</si>
</sst>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[Red]\(#,##0\)"/>
    <numFmt numFmtId="165" formatCode="_-[$€-2]* #,##0.00_-;\-[$€-2]* #,##0.00_-;_-[$€-2]* &quot;-&quot;??_-"/>
    <numFmt numFmtId="166" formatCode="#,##0.00_ ;\-#,##0.00\ "/>
    <numFmt numFmtId="167" formatCode="_-* #,##0_-;\-* #,##0_-;_-* &quot;-&quot;??_-;_-@_-"/>
  </numFmts>
  <fonts count="1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8">
    <border>
      <left/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7">
    <xf numFmtId="0" fontId="0" fillId="0" borderId="0" xfId="0"/>
    <xf numFmtId="164" fontId="1" fillId="0" borderId="1" xfId="0" applyNumberFormat="1" applyFont="1" applyBorder="1" applyAlignment="1">
      <alignment horizontal="center"/>
    </xf>
    <xf numFmtId="0" fontId="2" fillId="2" borderId="0" xfId="0" applyFont="1" applyFill="1"/>
    <xf numFmtId="0" fontId="0" fillId="0" borderId="0" xfId="0" applyBorder="1"/>
    <xf numFmtId="0" fontId="0" fillId="0" borderId="0" xfId="0" applyFill="1" applyBorder="1"/>
    <xf numFmtId="0" fontId="2" fillId="0" borderId="0" xfId="0" applyFont="1" applyFill="1"/>
    <xf numFmtId="164" fontId="1" fillId="0" borderId="0" xfId="0" applyNumberFormat="1" applyFont="1" applyFill="1" applyBorder="1" applyAlignment="1">
      <alignment horizontal="center"/>
    </xf>
    <xf numFmtId="166" fontId="7" fillId="0" borderId="0" xfId="0" applyNumberFormat="1" applyFont="1" applyBorder="1" applyAlignment="1"/>
    <xf numFmtId="44" fontId="0" fillId="0" borderId="0" xfId="3" applyFont="1" applyBorder="1"/>
    <xf numFmtId="164" fontId="3" fillId="0" borderId="0" xfId="0" applyNumberFormat="1" applyFont="1" applyFill="1" applyBorder="1" applyAlignment="1"/>
    <xf numFmtId="166" fontId="3" fillId="0" borderId="0" xfId="0" applyNumberFormat="1" applyFont="1" applyFill="1" applyBorder="1" applyAlignment="1"/>
    <xf numFmtId="44" fontId="3" fillId="0" borderId="0" xfId="3" applyFont="1" applyFill="1" applyBorder="1"/>
    <xf numFmtId="4" fontId="3" fillId="0" borderId="0" xfId="0" applyNumberFormat="1" applyFont="1" applyFill="1" applyBorder="1"/>
    <xf numFmtId="3" fontId="0" fillId="0" borderId="0" xfId="0" applyNumberFormat="1" applyBorder="1"/>
    <xf numFmtId="167" fontId="0" fillId="0" borderId="0" xfId="2" applyNumberFormat="1" applyFont="1"/>
    <xf numFmtId="0" fontId="0" fillId="3" borderId="2" xfId="0" applyFill="1" applyBorder="1"/>
    <xf numFmtId="167" fontId="10" fillId="3" borderId="2" xfId="2" applyNumberFormat="1" applyFont="1" applyFill="1" applyBorder="1"/>
    <xf numFmtId="0" fontId="0" fillId="3" borderId="3" xfId="0" applyFill="1" applyBorder="1"/>
    <xf numFmtId="0" fontId="5" fillId="3" borderId="4" xfId="0" applyFont="1" applyFill="1" applyBorder="1" applyAlignment="1"/>
    <xf numFmtId="0" fontId="0" fillId="3" borderId="0" xfId="0" applyFill="1" applyBorder="1"/>
    <xf numFmtId="167" fontId="10" fillId="3" borderId="0" xfId="2" applyNumberFormat="1" applyFont="1" applyFill="1" applyBorder="1"/>
    <xf numFmtId="0" fontId="0" fillId="3" borderId="5" xfId="0" applyFill="1" applyBorder="1"/>
    <xf numFmtId="0" fontId="5" fillId="3" borderId="4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6" fillId="3" borderId="7" xfId="0" applyFont="1" applyFill="1" applyBorder="1" applyAlignment="1">
      <alignment horizontal="left"/>
    </xf>
    <xf numFmtId="0" fontId="6" fillId="3" borderId="7" xfId="0" applyFont="1" applyFill="1" applyBorder="1" applyAlignment="1"/>
    <xf numFmtId="0" fontId="0" fillId="3" borderId="7" xfId="0" applyFill="1" applyBorder="1"/>
    <xf numFmtId="167" fontId="10" fillId="3" borderId="7" xfId="2" applyNumberFormat="1" applyFont="1" applyFill="1" applyBorder="1"/>
    <xf numFmtId="0" fontId="0" fillId="3" borderId="8" xfId="0" applyFill="1" applyBorder="1"/>
    <xf numFmtId="164" fontId="7" fillId="4" borderId="9" xfId="0" applyNumberFormat="1" applyFont="1" applyFill="1" applyBorder="1" applyAlignment="1"/>
    <xf numFmtId="44" fontId="0" fillId="0" borderId="10" xfId="3" applyFont="1" applyBorder="1"/>
    <xf numFmtId="0" fontId="0" fillId="0" borderId="10" xfId="0" applyBorder="1"/>
    <xf numFmtId="3" fontId="3" fillId="0" borderId="10" xfId="0" applyNumberFormat="1" applyFont="1" applyFill="1" applyBorder="1" applyAlignment="1"/>
    <xf numFmtId="3" fontId="3" fillId="0" borderId="10" xfId="0" applyNumberFormat="1" applyFont="1" applyBorder="1"/>
    <xf numFmtId="3" fontId="3" fillId="0" borderId="10" xfId="0" applyNumberFormat="1" applyFont="1" applyBorder="1" applyAlignment="1"/>
    <xf numFmtId="3" fontId="0" fillId="0" borderId="10" xfId="0" applyNumberFormat="1" applyBorder="1"/>
    <xf numFmtId="167" fontId="0" fillId="0" borderId="10" xfId="2" applyNumberFormat="1" applyFont="1" applyBorder="1"/>
    <xf numFmtId="3" fontId="3" fillId="5" borderId="11" xfId="0" applyNumberFormat="1" applyFont="1" applyFill="1" applyBorder="1" applyAlignment="1"/>
    <xf numFmtId="3" fontId="3" fillId="5" borderId="11" xfId="0" applyNumberFormat="1" applyFont="1" applyFill="1" applyBorder="1"/>
    <xf numFmtId="3" fontId="0" fillId="5" borderId="11" xfId="0" applyNumberFormat="1" applyFill="1" applyBorder="1"/>
    <xf numFmtId="167" fontId="10" fillId="5" borderId="11" xfId="2" applyNumberFormat="1" applyFont="1" applyFill="1" applyBorder="1"/>
    <xf numFmtId="0" fontId="0" fillId="5" borderId="11" xfId="0" applyFill="1" applyBorder="1"/>
    <xf numFmtId="44" fontId="10" fillId="5" borderId="11" xfId="3" applyFont="1" applyFill="1" applyBorder="1"/>
    <xf numFmtId="3" fontId="3" fillId="4" borderId="11" xfId="0" applyNumberFormat="1" applyFont="1" applyFill="1" applyBorder="1"/>
    <xf numFmtId="3" fontId="0" fillId="4" borderId="11" xfId="0" applyNumberFormat="1" applyFill="1" applyBorder="1"/>
    <xf numFmtId="167" fontId="10" fillId="4" borderId="11" xfId="2" applyNumberFormat="1" applyFont="1" applyFill="1" applyBorder="1"/>
    <xf numFmtId="44" fontId="10" fillId="4" borderId="11" xfId="3" applyFont="1" applyFill="1" applyBorder="1"/>
    <xf numFmtId="164" fontId="3" fillId="3" borderId="11" xfId="0" applyNumberFormat="1" applyFont="1" applyFill="1" applyBorder="1" applyAlignment="1"/>
    <xf numFmtId="3" fontId="3" fillId="3" borderId="11" xfId="0" applyNumberFormat="1" applyFont="1" applyFill="1" applyBorder="1" applyAlignment="1"/>
    <xf numFmtId="3" fontId="3" fillId="3" borderId="11" xfId="3" applyNumberFormat="1" applyFont="1" applyFill="1" applyBorder="1"/>
    <xf numFmtId="3" fontId="3" fillId="3" borderId="11" xfId="0" applyNumberFormat="1" applyFont="1" applyFill="1" applyBorder="1"/>
    <xf numFmtId="3" fontId="0" fillId="3" borderId="11" xfId="0" applyNumberFormat="1" applyFill="1" applyBorder="1"/>
    <xf numFmtId="3" fontId="10" fillId="3" borderId="11" xfId="3" applyNumberFormat="1" applyFont="1" applyFill="1" applyBorder="1"/>
    <xf numFmtId="167" fontId="10" fillId="3" borderId="11" xfId="2" applyNumberFormat="1" applyFont="1" applyFill="1" applyBorder="1"/>
    <xf numFmtId="0" fontId="0" fillId="3" borderId="11" xfId="0" applyFill="1" applyBorder="1"/>
    <xf numFmtId="164" fontId="3" fillId="3" borderId="10" xfId="0" applyNumberFormat="1" applyFont="1" applyFill="1" applyBorder="1" applyAlignment="1"/>
    <xf numFmtId="3" fontId="3" fillId="3" borderId="10" xfId="0" applyNumberFormat="1" applyFont="1" applyFill="1" applyBorder="1" applyAlignment="1"/>
    <xf numFmtId="3" fontId="3" fillId="3" borderId="10" xfId="3" applyNumberFormat="1" applyFont="1" applyFill="1" applyBorder="1"/>
    <xf numFmtId="3" fontId="3" fillId="3" borderId="10" xfId="0" applyNumberFormat="1" applyFont="1" applyFill="1" applyBorder="1"/>
    <xf numFmtId="3" fontId="0" fillId="3" borderId="10" xfId="0" applyNumberFormat="1" applyFill="1" applyBorder="1"/>
    <xf numFmtId="3" fontId="10" fillId="3" borderId="10" xfId="3" applyNumberFormat="1" applyFont="1" applyFill="1" applyBorder="1"/>
    <xf numFmtId="167" fontId="10" fillId="3" borderId="10" xfId="2" applyNumberFormat="1" applyFont="1" applyFill="1" applyBorder="1"/>
    <xf numFmtId="0" fontId="0" fillId="3" borderId="10" xfId="0" applyFill="1" applyBorder="1"/>
    <xf numFmtId="44" fontId="3" fillId="3" borderId="11" xfId="3" applyFont="1" applyFill="1" applyBorder="1" applyAlignment="1">
      <alignment horizontal="left"/>
    </xf>
    <xf numFmtId="44" fontId="3" fillId="3" borderId="11" xfId="3" applyFont="1" applyFill="1" applyBorder="1"/>
    <xf numFmtId="44" fontId="10" fillId="3" borderId="10" xfId="3" applyFont="1" applyFill="1" applyBorder="1"/>
    <xf numFmtId="44" fontId="10" fillId="3" borderId="12" xfId="3" applyFont="1" applyFill="1" applyBorder="1"/>
    <xf numFmtId="44" fontId="10" fillId="6" borderId="11" xfId="3" applyFont="1" applyFill="1" applyBorder="1"/>
    <xf numFmtId="3" fontId="3" fillId="6" borderId="11" xfId="0" applyNumberFormat="1" applyFont="1" applyFill="1" applyBorder="1"/>
    <xf numFmtId="3" fontId="0" fillId="6" borderId="11" xfId="0" applyNumberFormat="1" applyFill="1" applyBorder="1"/>
    <xf numFmtId="167" fontId="10" fillId="6" borderId="11" xfId="2" applyNumberFormat="1" applyFont="1" applyFill="1" applyBorder="1"/>
    <xf numFmtId="167" fontId="3" fillId="6" borderId="11" xfId="2" applyNumberFormat="1" applyFont="1" applyFill="1" applyBorder="1"/>
    <xf numFmtId="44" fontId="3" fillId="6" borderId="11" xfId="3" applyFont="1" applyFill="1" applyBorder="1"/>
    <xf numFmtId="0" fontId="0" fillId="6" borderId="11" xfId="0" applyFill="1" applyBorder="1"/>
    <xf numFmtId="3" fontId="2" fillId="6" borderId="11" xfId="0" applyNumberFormat="1" applyFont="1" applyFill="1" applyBorder="1"/>
    <xf numFmtId="0" fontId="0" fillId="7" borderId="11" xfId="0" applyFill="1" applyBorder="1"/>
    <xf numFmtId="3" fontId="3" fillId="7" borderId="11" xfId="0" applyNumberFormat="1" applyFont="1" applyFill="1" applyBorder="1" applyAlignment="1"/>
    <xf numFmtId="3" fontId="3" fillId="7" borderId="11" xfId="0" applyNumberFormat="1" applyFont="1" applyFill="1" applyBorder="1"/>
    <xf numFmtId="3" fontId="0" fillId="7" borderId="11" xfId="0" applyNumberFormat="1" applyFill="1" applyBorder="1"/>
    <xf numFmtId="167" fontId="10" fillId="7" borderId="11" xfId="2" applyNumberFormat="1" applyFont="1" applyFill="1" applyBorder="1"/>
    <xf numFmtId="167" fontId="0" fillId="5" borderId="11" xfId="0" applyNumberFormat="1" applyFill="1" applyBorder="1"/>
    <xf numFmtId="0" fontId="4" fillId="4" borderId="13" xfId="0" applyNumberFormat="1" applyFont="1" applyFill="1" applyBorder="1" applyAlignment="1">
      <alignment horizontal="center"/>
    </xf>
    <xf numFmtId="0" fontId="12" fillId="8" borderId="14" xfId="0" applyFont="1" applyFill="1" applyBorder="1"/>
    <xf numFmtId="167" fontId="12" fillId="8" borderId="15" xfId="0" applyNumberFormat="1" applyFont="1" applyFill="1" applyBorder="1"/>
    <xf numFmtId="164" fontId="13" fillId="9" borderId="11" xfId="0" applyNumberFormat="1" applyFont="1" applyFill="1" applyBorder="1" applyAlignment="1"/>
    <xf numFmtId="3" fontId="13" fillId="9" borderId="11" xfId="0" applyNumberFormat="1" applyFont="1" applyFill="1" applyBorder="1" applyAlignment="1"/>
    <xf numFmtId="3" fontId="13" fillId="9" borderId="11" xfId="3" applyNumberFormat="1" applyFont="1" applyFill="1" applyBorder="1"/>
    <xf numFmtId="3" fontId="13" fillId="9" borderId="11" xfId="0" applyNumberFormat="1" applyFont="1" applyFill="1" applyBorder="1"/>
    <xf numFmtId="167" fontId="13" fillId="9" borderId="11" xfId="0" applyNumberFormat="1" applyFont="1" applyFill="1" applyBorder="1"/>
    <xf numFmtId="164" fontId="14" fillId="9" borderId="0" xfId="0" applyNumberFormat="1" applyFont="1" applyFill="1" applyBorder="1" applyAlignment="1">
      <alignment horizontal="center"/>
    </xf>
    <xf numFmtId="44" fontId="13" fillId="9" borderId="11" xfId="3" applyFont="1" applyFill="1" applyBorder="1"/>
    <xf numFmtId="0" fontId="13" fillId="9" borderId="11" xfId="0" applyFont="1" applyFill="1" applyBorder="1"/>
    <xf numFmtId="167" fontId="14" fillId="9" borderId="11" xfId="2" applyNumberFormat="1" applyFont="1" applyFill="1" applyBorder="1"/>
    <xf numFmtId="0" fontId="14" fillId="9" borderId="11" xfId="0" applyFont="1" applyFill="1" applyBorder="1"/>
    <xf numFmtId="164" fontId="1" fillId="6" borderId="0" xfId="0" applyNumberFormat="1" applyFont="1" applyFill="1" applyBorder="1" applyAlignment="1">
      <alignment horizontal="center"/>
    </xf>
    <xf numFmtId="44" fontId="2" fillId="6" borderId="11" xfId="3" applyFont="1" applyFill="1" applyBorder="1"/>
    <xf numFmtId="0" fontId="4" fillId="4" borderId="13" xfId="3" applyNumberFormat="1" applyFont="1" applyFill="1" applyBorder="1" applyAlignment="1">
      <alignment horizontal="center"/>
    </xf>
    <xf numFmtId="0" fontId="9" fillId="3" borderId="0" xfId="0" applyFont="1" applyFill="1" applyBorder="1" applyAlignment="1"/>
    <xf numFmtId="0" fontId="9" fillId="3" borderId="5" xfId="0" applyFont="1" applyFill="1" applyBorder="1" applyAlignment="1"/>
    <xf numFmtId="3" fontId="14" fillId="9" borderId="11" xfId="0" applyNumberFormat="1" applyFont="1" applyFill="1" applyBorder="1"/>
    <xf numFmtId="4" fontId="0" fillId="0" borderId="0" xfId="0" applyNumberFormat="1"/>
    <xf numFmtId="0" fontId="0" fillId="0" borderId="0" xfId="0" applyFill="1"/>
    <xf numFmtId="3" fontId="0" fillId="0" borderId="0" xfId="0" applyNumberFormat="1" applyFill="1"/>
    <xf numFmtId="167" fontId="0" fillId="0" borderId="0" xfId="0" applyNumberFormat="1" applyFill="1"/>
    <xf numFmtId="164" fontId="4" fillId="4" borderId="16" xfId="0" applyNumberFormat="1" applyFont="1" applyFill="1" applyBorder="1" applyAlignment="1">
      <alignment horizontal="center"/>
    </xf>
    <xf numFmtId="0" fontId="4" fillId="3" borderId="17" xfId="0" applyFont="1" applyFill="1" applyBorder="1" applyAlignment="1"/>
    <xf numFmtId="0" fontId="4" fillId="3" borderId="2" xfId="0" applyFont="1" applyFill="1" applyBorder="1" applyAlignment="1"/>
    <xf numFmtId="44" fontId="10" fillId="3" borderId="11" xfId="3" applyFont="1" applyFill="1" applyBorder="1"/>
    <xf numFmtId="0" fontId="8" fillId="3" borderId="0" xfId="0" applyFont="1" applyFill="1" applyBorder="1" applyAlignment="1"/>
    <xf numFmtId="0" fontId="4" fillId="3" borderId="0" xfId="0" applyFont="1" applyFill="1" applyBorder="1" applyAlignment="1"/>
    <xf numFmtId="167" fontId="11" fillId="3" borderId="7" xfId="2" applyNumberFormat="1" applyFont="1" applyFill="1" applyBorder="1"/>
    <xf numFmtId="167" fontId="0" fillId="0" borderId="0" xfId="0" applyNumberFormat="1"/>
    <xf numFmtId="0" fontId="9" fillId="3" borderId="4" xfId="0" applyFont="1" applyFill="1" applyBorder="1" applyAlignment="1"/>
    <xf numFmtId="167" fontId="3" fillId="3" borderId="11" xfId="2" applyNumberFormat="1" applyFont="1" applyFill="1" applyBorder="1"/>
    <xf numFmtId="167" fontId="15" fillId="3" borderId="12" xfId="2" applyNumberFormat="1" applyFont="1" applyFill="1" applyBorder="1"/>
    <xf numFmtId="0" fontId="15" fillId="0" borderId="0" xfId="0" applyFont="1" applyFill="1"/>
    <xf numFmtId="3" fontId="3" fillId="3" borderId="12" xfId="0" applyNumberFormat="1" applyFont="1" applyFill="1" applyBorder="1"/>
    <xf numFmtId="167" fontId="3" fillId="3" borderId="12" xfId="2" applyNumberFormat="1" applyFont="1" applyFill="1" applyBorder="1"/>
    <xf numFmtId="44" fontId="16" fillId="4" borderId="11" xfId="3" applyFont="1" applyFill="1" applyBorder="1" applyAlignment="1">
      <alignment wrapText="1"/>
    </xf>
    <xf numFmtId="3" fontId="1" fillId="4" borderId="11" xfId="0" applyNumberFormat="1" applyFont="1" applyFill="1" applyBorder="1"/>
    <xf numFmtId="167" fontId="1" fillId="4" borderId="11" xfId="2" applyNumberFormat="1" applyFont="1" applyFill="1" applyBorder="1"/>
    <xf numFmtId="167" fontId="16" fillId="4" borderId="11" xfId="2" applyNumberFormat="1" applyFont="1" applyFill="1" applyBorder="1"/>
    <xf numFmtId="167" fontId="1" fillId="5" borderId="11" xfId="2" applyNumberFormat="1" applyFont="1" applyFill="1" applyBorder="1"/>
    <xf numFmtId="0" fontId="0" fillId="0" borderId="0" xfId="0" applyAlignment="1"/>
    <xf numFmtId="4" fontId="17" fillId="10" borderId="11" xfId="0" applyNumberFormat="1" applyFont="1" applyFill="1" applyBorder="1"/>
    <xf numFmtId="44" fontId="4" fillId="4" borderId="6" xfId="3" applyFont="1" applyFill="1" applyBorder="1" applyAlignment="1">
      <alignment horizontal="center"/>
    </xf>
    <xf numFmtId="44" fontId="4" fillId="4" borderId="7" xfId="3" applyFont="1" applyFill="1" applyBorder="1" applyAlignment="1">
      <alignment horizontal="center"/>
    </xf>
  </cellXfs>
  <cellStyles count="4">
    <cellStyle name="Euro" xfId="1"/>
    <cellStyle name="Millares" xfId="2" builtinId="3"/>
    <cellStyle name="Moneda" xfId="3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733425</xdr:colOff>
      <xdr:row>0</xdr:row>
      <xdr:rowOff>47625</xdr:rowOff>
    </xdr:from>
    <xdr:to>
      <xdr:col>2</xdr:col>
      <xdr:colOff>1971675</xdr:colOff>
      <xdr:row>4</xdr:row>
      <xdr:rowOff>85725</xdr:rowOff>
    </xdr:to>
    <xdr:pic>
      <xdr:nvPicPr>
        <xdr:cNvPr id="1054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47625"/>
          <a:ext cx="123825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07"/>
  <sheetViews>
    <sheetView tabSelected="1" topLeftCell="B1" zoomScaleNormal="100" workbookViewId="0">
      <selection activeCell="U79" sqref="U79"/>
    </sheetView>
  </sheetViews>
  <sheetFormatPr baseColWidth="10" defaultRowHeight="12.75" x14ac:dyDescent="0.2"/>
  <cols>
    <col min="1" max="1" width="3.28515625" hidden="1" customWidth="1"/>
    <col min="2" max="2" width="2" customWidth="1"/>
    <col min="3" max="3" width="54.85546875" customWidth="1"/>
    <col min="4" max="15" width="20.7109375" customWidth="1"/>
    <col min="16" max="17" width="20.7109375" style="14" customWidth="1"/>
    <col min="18" max="21" width="20.7109375" customWidth="1"/>
    <col min="22" max="22" width="21" customWidth="1"/>
    <col min="23" max="23" width="21.42578125" customWidth="1"/>
  </cols>
  <sheetData>
    <row r="1" spans="1:24" ht="24" customHeight="1" x14ac:dyDescent="0.25">
      <c r="B1" s="3"/>
      <c r="C1" s="105"/>
      <c r="D1" s="106"/>
      <c r="E1" s="106"/>
      <c r="F1" s="106"/>
      <c r="G1" s="106"/>
      <c r="H1" s="106"/>
      <c r="I1" s="15"/>
      <c r="J1" s="15"/>
      <c r="K1" s="15"/>
      <c r="L1" s="15"/>
      <c r="M1" s="15"/>
      <c r="N1" s="15"/>
      <c r="O1" s="15"/>
      <c r="P1" s="16"/>
      <c r="Q1" s="16"/>
      <c r="R1" s="16"/>
      <c r="S1" s="16"/>
      <c r="T1" s="16"/>
      <c r="U1" s="16"/>
      <c r="V1" s="17"/>
    </row>
    <row r="2" spans="1:24" ht="17.25" customHeight="1" x14ac:dyDescent="0.25">
      <c r="B2" s="4"/>
      <c r="C2" s="18"/>
      <c r="D2" s="97" t="s">
        <v>78</v>
      </c>
      <c r="E2" s="97"/>
      <c r="F2" s="97"/>
      <c r="G2" s="97"/>
      <c r="H2" s="97"/>
      <c r="I2" s="97"/>
      <c r="J2" s="97"/>
      <c r="K2" s="97"/>
      <c r="L2" s="97"/>
      <c r="M2" s="97"/>
      <c r="N2" s="97"/>
      <c r="O2" s="19"/>
      <c r="P2" s="20"/>
      <c r="Q2" s="20"/>
      <c r="R2" s="20"/>
      <c r="S2" s="20"/>
      <c r="T2" s="20"/>
      <c r="U2" s="20"/>
      <c r="V2" s="21"/>
    </row>
    <row r="3" spans="1:24" ht="17.25" customHeight="1" x14ac:dyDescent="0.25">
      <c r="B3" s="4"/>
      <c r="C3" s="112"/>
      <c r="D3" s="97" t="s">
        <v>82</v>
      </c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8"/>
    </row>
    <row r="4" spans="1:24" ht="20.25" customHeight="1" x14ac:dyDescent="0.25">
      <c r="B4" s="4"/>
      <c r="C4" s="22"/>
      <c r="D4" s="108" t="s">
        <v>79</v>
      </c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9"/>
      <c r="P4" s="20"/>
      <c r="Q4" s="20"/>
      <c r="R4" s="20"/>
      <c r="S4" s="20"/>
      <c r="T4" s="20"/>
      <c r="U4" s="20"/>
      <c r="V4" s="21"/>
    </row>
    <row r="5" spans="1:24" ht="20.25" customHeight="1" x14ac:dyDescent="0.25">
      <c r="B5" s="4"/>
      <c r="C5" s="22"/>
      <c r="D5" s="109" t="s">
        <v>84</v>
      </c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9"/>
      <c r="P5" s="20"/>
      <c r="Q5" s="20"/>
      <c r="R5" s="20"/>
      <c r="S5" s="20"/>
      <c r="T5" s="20"/>
      <c r="U5" s="20"/>
      <c r="V5" s="21"/>
    </row>
    <row r="6" spans="1:24" ht="11.25" customHeight="1" thickBot="1" x14ac:dyDescent="0.25">
      <c r="B6" s="4"/>
      <c r="C6" s="23"/>
      <c r="D6" s="24"/>
      <c r="E6" s="24"/>
      <c r="F6" s="24"/>
      <c r="G6" s="24"/>
      <c r="H6" s="25"/>
      <c r="I6" s="26"/>
      <c r="J6" s="26"/>
      <c r="K6" s="26"/>
      <c r="L6" s="26"/>
      <c r="M6" s="26"/>
      <c r="N6" s="26"/>
      <c r="O6" s="26"/>
      <c r="P6" s="27"/>
      <c r="Q6" s="110"/>
      <c r="R6" s="27"/>
      <c r="S6" s="27"/>
      <c r="T6" s="27"/>
      <c r="U6" s="27"/>
      <c r="V6" s="28"/>
    </row>
    <row r="7" spans="1:24" ht="15" hidden="1" customHeight="1" thickBot="1" x14ac:dyDescent="0.25">
      <c r="A7" s="1"/>
      <c r="B7" s="6"/>
      <c r="C7" s="9" t="s">
        <v>1</v>
      </c>
      <c r="D7" s="10">
        <v>83.54</v>
      </c>
      <c r="E7" s="11">
        <v>133.80000000000001</v>
      </c>
      <c r="F7" s="11"/>
      <c r="G7" s="12">
        <v>107.53</v>
      </c>
      <c r="H7" s="4"/>
      <c r="I7" s="8"/>
      <c r="J7" s="3"/>
      <c r="K7" s="3"/>
    </row>
    <row r="8" spans="1:24" ht="18.75" customHeight="1" thickBot="1" x14ac:dyDescent="0.3">
      <c r="A8" s="1"/>
      <c r="B8" s="6"/>
      <c r="C8" s="29"/>
      <c r="D8" s="125" t="s">
        <v>70</v>
      </c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</row>
    <row r="9" spans="1:24" ht="34.5" customHeight="1" thickBot="1" x14ac:dyDescent="0.3">
      <c r="A9" s="1"/>
      <c r="B9" s="6"/>
      <c r="C9" s="104" t="s">
        <v>2</v>
      </c>
      <c r="D9" s="81">
        <v>2004</v>
      </c>
      <c r="E9" s="96">
        <v>2005</v>
      </c>
      <c r="F9" s="96">
        <v>2006</v>
      </c>
      <c r="G9" s="81">
        <v>2007</v>
      </c>
      <c r="H9" s="81">
        <v>2008</v>
      </c>
      <c r="I9" s="96">
        <v>2009</v>
      </c>
      <c r="J9" s="81">
        <v>2010</v>
      </c>
      <c r="K9" s="81">
        <v>2011</v>
      </c>
      <c r="L9" s="81">
        <v>2012</v>
      </c>
      <c r="M9" s="81">
        <v>2013</v>
      </c>
      <c r="N9" s="81">
        <v>2014</v>
      </c>
      <c r="O9" s="81">
        <v>2015</v>
      </c>
      <c r="P9" s="81">
        <v>2016</v>
      </c>
      <c r="Q9" s="81">
        <v>2017</v>
      </c>
      <c r="R9" s="81">
        <v>2018</v>
      </c>
      <c r="S9" s="81">
        <v>2019</v>
      </c>
      <c r="T9" s="81">
        <v>2020</v>
      </c>
      <c r="U9" s="81">
        <v>2021</v>
      </c>
      <c r="V9" s="81" t="s">
        <v>85</v>
      </c>
      <c r="W9" s="101"/>
      <c r="X9" s="101"/>
    </row>
    <row r="10" spans="1:24" ht="7.5" customHeight="1" x14ac:dyDescent="0.2">
      <c r="A10" s="1"/>
      <c r="B10" s="6"/>
      <c r="C10" s="9"/>
      <c r="D10" s="10"/>
      <c r="E10" s="11"/>
      <c r="F10" s="11"/>
      <c r="G10" s="12"/>
      <c r="H10" s="4"/>
      <c r="I10" s="8"/>
      <c r="J10" s="3"/>
      <c r="K10" s="3"/>
      <c r="L10" s="3"/>
      <c r="V10" s="123"/>
      <c r="W10" s="101"/>
      <c r="X10" s="101"/>
    </row>
    <row r="11" spans="1:24" ht="18" customHeight="1" x14ac:dyDescent="0.3">
      <c r="A11" s="1"/>
      <c r="B11" s="6"/>
      <c r="C11" s="47" t="s">
        <v>3</v>
      </c>
      <c r="D11" s="48">
        <v>71767900.390000001</v>
      </c>
      <c r="E11" s="49">
        <v>79431878.850000009</v>
      </c>
      <c r="F11" s="49">
        <v>142059486.28999999</v>
      </c>
      <c r="G11" s="50">
        <v>162887944.23999998</v>
      </c>
      <c r="H11" s="51">
        <v>180019746.60999995</v>
      </c>
      <c r="I11" s="52">
        <v>180260312.72</v>
      </c>
      <c r="J11" s="51">
        <v>199389158.58999997</v>
      </c>
      <c r="K11" s="51">
        <v>213792762</v>
      </c>
      <c r="L11" s="51">
        <v>232912682.86000001</v>
      </c>
      <c r="M11" s="51">
        <v>246429387.75</v>
      </c>
      <c r="N11" s="51">
        <v>262025642.59</v>
      </c>
      <c r="O11" s="51">
        <v>294151275.25999999</v>
      </c>
      <c r="P11" s="53">
        <v>324905517.12</v>
      </c>
      <c r="Q11" s="53">
        <v>341422612.5</v>
      </c>
      <c r="R11" s="53">
        <v>394810815.44999999</v>
      </c>
      <c r="S11" s="53">
        <v>441977233.41000003</v>
      </c>
      <c r="T11" s="53">
        <v>523670303.23000002</v>
      </c>
      <c r="U11" s="124">
        <v>541113608.70999992</v>
      </c>
      <c r="V11" s="53">
        <v>155769529.50999987</v>
      </c>
      <c r="W11" s="101"/>
      <c r="X11" s="101"/>
    </row>
    <row r="12" spans="1:24" ht="18" customHeight="1" x14ac:dyDescent="0.2">
      <c r="A12" s="1"/>
      <c r="B12" s="6"/>
      <c r="C12" s="47" t="s">
        <v>81</v>
      </c>
      <c r="D12" s="48">
        <v>87785948.379999995</v>
      </c>
      <c r="E12" s="49">
        <v>87995062.910000011</v>
      </c>
      <c r="F12" s="49">
        <v>184951278.53999999</v>
      </c>
      <c r="G12" s="50">
        <v>187896224.19</v>
      </c>
      <c r="H12" s="51">
        <v>187272657.24000001</v>
      </c>
      <c r="I12" s="52">
        <v>250703667.19999999</v>
      </c>
      <c r="J12" s="51">
        <v>197819599.42000002</v>
      </c>
      <c r="K12" s="51">
        <v>290162557</v>
      </c>
      <c r="L12" s="51">
        <v>352912684.54000002</v>
      </c>
      <c r="M12" s="51">
        <v>359851284.55000001</v>
      </c>
      <c r="N12" s="51">
        <v>443129818.48000002</v>
      </c>
      <c r="O12" s="51">
        <v>501883156.44</v>
      </c>
      <c r="P12" s="53">
        <v>568541023.63999999</v>
      </c>
      <c r="Q12" s="53">
        <v>887083169.75</v>
      </c>
      <c r="R12" s="53">
        <v>675151176.63</v>
      </c>
      <c r="S12" s="53">
        <v>775369204.62</v>
      </c>
      <c r="T12" s="53">
        <v>780647222.69000006</v>
      </c>
      <c r="U12" s="53">
        <v>877763333.41999996</v>
      </c>
      <c r="V12" s="53">
        <v>509924124.6534726</v>
      </c>
      <c r="W12" s="101"/>
      <c r="X12" s="101"/>
    </row>
    <row r="13" spans="1:24" ht="18" customHeight="1" x14ac:dyDescent="0.2">
      <c r="A13" s="1"/>
      <c r="B13" s="6"/>
      <c r="C13" s="47" t="s">
        <v>4</v>
      </c>
      <c r="D13" s="48">
        <v>3982021.32</v>
      </c>
      <c r="E13" s="49">
        <v>3793605.45</v>
      </c>
      <c r="F13" s="49">
        <v>2895309.11</v>
      </c>
      <c r="G13" s="50">
        <v>3199391.4399999995</v>
      </c>
      <c r="H13" s="51">
        <v>4082424.18</v>
      </c>
      <c r="I13" s="52">
        <v>3735227.44</v>
      </c>
      <c r="J13" s="51">
        <v>4417422.7699999996</v>
      </c>
      <c r="K13" s="51">
        <v>3863955</v>
      </c>
      <c r="L13" s="51">
        <v>4647964.1900000004</v>
      </c>
      <c r="M13" s="51">
        <v>4567900.53</v>
      </c>
      <c r="N13" s="51">
        <v>5805299.5800000001</v>
      </c>
      <c r="O13" s="51">
        <v>5750818.0499999998</v>
      </c>
      <c r="P13" s="53">
        <v>6694704</v>
      </c>
      <c r="Q13" s="53">
        <v>7019433.75</v>
      </c>
      <c r="R13" s="53">
        <v>7580178.8700000001</v>
      </c>
      <c r="S13" s="53">
        <v>8583806.8100000005</v>
      </c>
      <c r="T13" s="53">
        <v>4087506.23</v>
      </c>
      <c r="U13" s="53">
        <v>7421698.8600000003</v>
      </c>
      <c r="V13" s="53">
        <v>1645274.5400000005</v>
      </c>
      <c r="W13" s="101"/>
      <c r="X13" s="101"/>
    </row>
    <row r="14" spans="1:24" ht="18" customHeight="1" x14ac:dyDescent="0.2">
      <c r="A14" s="1"/>
      <c r="B14" s="6"/>
      <c r="C14" s="47" t="s">
        <v>5</v>
      </c>
      <c r="D14" s="48">
        <v>1109012.71</v>
      </c>
      <c r="E14" s="49">
        <v>1225157.8400000001</v>
      </c>
      <c r="F14" s="49">
        <v>1186589.75</v>
      </c>
      <c r="G14" s="50">
        <v>1478057.2600000002</v>
      </c>
      <c r="H14" s="51">
        <v>1596299.8900000001</v>
      </c>
      <c r="I14" s="52">
        <v>3693785.97</v>
      </c>
      <c r="J14" s="51">
        <v>6798020</v>
      </c>
      <c r="K14" s="51">
        <v>6691112</v>
      </c>
      <c r="L14" s="51">
        <v>7164689.3899999997</v>
      </c>
      <c r="M14" s="51">
        <v>6744966.0700000003</v>
      </c>
      <c r="N14" s="51">
        <v>6249749.0099999998</v>
      </c>
      <c r="O14" s="51">
        <v>8243850.3300000001</v>
      </c>
      <c r="P14" s="53">
        <v>8958729.2799999993</v>
      </c>
      <c r="Q14" s="53">
        <v>9951515.1300000008</v>
      </c>
      <c r="R14" s="53">
        <v>11634026.369999999</v>
      </c>
      <c r="S14" s="53">
        <v>11351447.84</v>
      </c>
      <c r="T14" s="53">
        <v>5288253.4800000004</v>
      </c>
      <c r="U14" s="53">
        <v>8322270.8099999996</v>
      </c>
      <c r="V14" s="53">
        <v>2591111.84</v>
      </c>
      <c r="W14" s="101"/>
      <c r="X14" s="101"/>
    </row>
    <row r="15" spans="1:24" ht="18" customHeight="1" x14ac:dyDescent="0.2">
      <c r="A15" s="1"/>
      <c r="B15" s="6"/>
      <c r="C15" s="47" t="s">
        <v>6</v>
      </c>
      <c r="D15" s="48">
        <v>11315260</v>
      </c>
      <c r="E15" s="49">
        <v>11219294.800000003</v>
      </c>
      <c r="F15" s="49">
        <v>14402733.83</v>
      </c>
      <c r="G15" s="50">
        <v>11581698.76</v>
      </c>
      <c r="H15" s="51">
        <v>10008871.779999999</v>
      </c>
      <c r="I15" s="52">
        <v>15460714.859999998</v>
      </c>
      <c r="J15" s="51">
        <v>7971906.8399999989</v>
      </c>
      <c r="K15" s="51">
        <v>6074363</v>
      </c>
      <c r="L15" s="51">
        <v>16678475.189999999</v>
      </c>
      <c r="M15" s="51">
        <v>14101024.84</v>
      </c>
      <c r="N15" s="51">
        <v>14114026.52</v>
      </c>
      <c r="O15" s="51">
        <v>13601152.33</v>
      </c>
      <c r="P15" s="53">
        <v>13510821.83</v>
      </c>
      <c r="Q15" s="53">
        <v>19722442.93</v>
      </c>
      <c r="R15" s="53">
        <v>12822684.84</v>
      </c>
      <c r="S15" s="53">
        <v>15591090.84</v>
      </c>
      <c r="T15" s="53">
        <v>15483047.359999999</v>
      </c>
      <c r="U15" s="53">
        <v>15579456.699999999</v>
      </c>
      <c r="V15" s="53">
        <v>3568764.2046478204</v>
      </c>
      <c r="W15" s="101"/>
      <c r="X15" s="101"/>
    </row>
    <row r="16" spans="1:24" ht="18" customHeight="1" x14ac:dyDescent="0.2">
      <c r="A16" s="1"/>
      <c r="B16" s="6"/>
      <c r="C16" s="47" t="s">
        <v>7</v>
      </c>
      <c r="D16" s="48"/>
      <c r="E16" s="49"/>
      <c r="F16" s="49"/>
      <c r="G16" s="50">
        <v>9085271.4199999999</v>
      </c>
      <c r="H16" s="51">
        <v>15291981.610000001</v>
      </c>
      <c r="I16" s="52">
        <v>7462687.8700000001</v>
      </c>
      <c r="J16" s="51">
        <v>11848321.949999999</v>
      </c>
      <c r="K16" s="51">
        <v>16554107</v>
      </c>
      <c r="L16" s="51">
        <v>19589641.039999999</v>
      </c>
      <c r="M16" s="51">
        <v>24722621.48</v>
      </c>
      <c r="N16" s="51">
        <v>18671173.68</v>
      </c>
      <c r="O16" s="51">
        <f>26658820.77+1</f>
        <v>26658821.77</v>
      </c>
      <c r="P16" s="53">
        <v>23854539.41</v>
      </c>
      <c r="Q16" s="53">
        <v>41234991.810000002</v>
      </c>
      <c r="R16" s="53">
        <v>23512944.84</v>
      </c>
      <c r="S16" s="53">
        <v>25642267.350000001</v>
      </c>
      <c r="T16" s="53">
        <v>24026727.09</v>
      </c>
      <c r="U16" s="53">
        <v>34556741.849999994</v>
      </c>
      <c r="V16" s="53">
        <v>8413813.2500000019</v>
      </c>
      <c r="W16" s="101"/>
      <c r="X16" s="101"/>
    </row>
    <row r="17" spans="1:24" ht="18" customHeight="1" x14ac:dyDescent="0.2">
      <c r="A17" s="1"/>
      <c r="B17" s="6"/>
      <c r="C17" s="47" t="s">
        <v>8</v>
      </c>
      <c r="D17" s="48">
        <v>34171.5</v>
      </c>
      <c r="E17" s="49">
        <f>14501+0.5</f>
        <v>14501.5</v>
      </c>
      <c r="F17" s="49">
        <v>29536</v>
      </c>
      <c r="G17" s="50">
        <v>0</v>
      </c>
      <c r="H17" s="51">
        <v>0</v>
      </c>
      <c r="I17" s="52">
        <v>0</v>
      </c>
      <c r="J17" s="51">
        <v>0</v>
      </c>
      <c r="K17" s="51"/>
      <c r="L17" s="51"/>
      <c r="M17" s="51"/>
      <c r="N17" s="51"/>
      <c r="O17" s="51"/>
      <c r="P17" s="53"/>
      <c r="Q17" s="53"/>
      <c r="R17" s="53"/>
      <c r="S17" s="53"/>
      <c r="T17" s="53"/>
      <c r="U17" s="53"/>
      <c r="V17" s="53"/>
      <c r="W17" s="101"/>
      <c r="X17" s="101"/>
    </row>
    <row r="18" spans="1:24" ht="18" customHeight="1" x14ac:dyDescent="0.2">
      <c r="A18" s="1"/>
      <c r="B18" s="6"/>
      <c r="C18" s="47" t="s">
        <v>71</v>
      </c>
      <c r="D18" s="48"/>
      <c r="E18" s="49"/>
      <c r="F18" s="49"/>
      <c r="G18" s="50"/>
      <c r="H18" s="51"/>
      <c r="I18" s="52"/>
      <c r="J18" s="51"/>
      <c r="K18" s="51">
        <v>121285536</v>
      </c>
      <c r="L18" s="51">
        <v>204904387.09999999</v>
      </c>
      <c r="M18" s="51">
        <v>248842748.49000001</v>
      </c>
      <c r="N18" s="51">
        <v>297382981.58999997</v>
      </c>
      <c r="O18" s="51">
        <v>378099616.33999997</v>
      </c>
      <c r="P18" s="53">
        <v>451672009.63999999</v>
      </c>
      <c r="Q18" s="53">
        <v>632236783.00999999</v>
      </c>
      <c r="R18" s="53">
        <v>507432623.37</v>
      </c>
      <c r="S18" s="53">
        <v>623570511.96000004</v>
      </c>
      <c r="T18" s="53">
        <v>644804851.99000001</v>
      </c>
      <c r="U18" s="53">
        <v>736525659.02999997</v>
      </c>
      <c r="V18" s="53">
        <v>496575176.93925929</v>
      </c>
      <c r="W18" s="101"/>
      <c r="X18" s="101"/>
    </row>
    <row r="19" spans="1:24" ht="18" customHeight="1" x14ac:dyDescent="0.2">
      <c r="A19" s="1"/>
      <c r="B19" s="6"/>
      <c r="C19" s="47" t="s">
        <v>72</v>
      </c>
      <c r="D19" s="54"/>
      <c r="E19" s="54"/>
      <c r="F19" s="54"/>
      <c r="G19" s="54"/>
      <c r="H19" s="54"/>
      <c r="I19" s="54"/>
      <c r="J19" s="54"/>
      <c r="K19" s="51">
        <v>2554597</v>
      </c>
      <c r="L19" s="51">
        <v>3877765.46</v>
      </c>
      <c r="M19" s="51">
        <v>4918716.1100000003</v>
      </c>
      <c r="N19" s="51">
        <v>3556879.97</v>
      </c>
      <c r="O19" s="51">
        <v>2054469.3</v>
      </c>
      <c r="P19" s="53">
        <f>3349404.24+1</f>
        <v>3349405.24</v>
      </c>
      <c r="Q19" s="53">
        <f>1293170.36+1</f>
        <v>1293171.3600000001</v>
      </c>
      <c r="R19" s="53">
        <v>5759761.0199999996</v>
      </c>
      <c r="S19" s="53">
        <v>5709284.0999999996</v>
      </c>
      <c r="T19" s="113">
        <f>7081908.5-1</f>
        <v>7081907.5</v>
      </c>
      <c r="U19" s="113">
        <v>15883481.080000002</v>
      </c>
      <c r="V19" s="113">
        <v>2709812.2399999998</v>
      </c>
      <c r="W19" s="101"/>
      <c r="X19" s="101"/>
    </row>
    <row r="20" spans="1:24" ht="18" customHeight="1" x14ac:dyDescent="0.2">
      <c r="A20" s="1"/>
      <c r="B20" s="6"/>
      <c r="C20" s="47" t="s">
        <v>76</v>
      </c>
      <c r="D20" s="54"/>
      <c r="E20" s="54"/>
      <c r="F20" s="54"/>
      <c r="G20" s="54"/>
      <c r="H20" s="54"/>
      <c r="I20" s="54"/>
      <c r="J20" s="54"/>
      <c r="K20" s="51"/>
      <c r="L20" s="51"/>
      <c r="M20" s="51">
        <v>220</v>
      </c>
      <c r="N20" s="51">
        <v>340</v>
      </c>
      <c r="O20" s="51">
        <v>0</v>
      </c>
      <c r="P20" s="53">
        <v>40</v>
      </c>
      <c r="Q20" s="53"/>
      <c r="R20" s="54"/>
      <c r="S20" s="54"/>
      <c r="T20" s="54"/>
      <c r="U20" s="54"/>
      <c r="V20" s="54"/>
      <c r="W20" s="101"/>
      <c r="X20" s="101"/>
    </row>
    <row r="21" spans="1:24" ht="18" customHeight="1" x14ac:dyDescent="0.2">
      <c r="A21" s="1"/>
      <c r="B21" s="6"/>
      <c r="C21" s="84" t="s">
        <v>0</v>
      </c>
      <c r="D21" s="87">
        <f>SUM(D11:D20)</f>
        <v>175994314.29999998</v>
      </c>
      <c r="E21" s="87">
        <f>SUM(E11:E20)</f>
        <v>183679501.35000002</v>
      </c>
      <c r="F21" s="87">
        <f>SUM(F11:F20)</f>
        <v>345524933.51999998</v>
      </c>
      <c r="G21" s="87">
        <f>SUM(G11:G20)</f>
        <v>376128587.30999994</v>
      </c>
      <c r="H21" s="87">
        <v>398271981.30999994</v>
      </c>
      <c r="I21" s="86">
        <v>461316396.06</v>
      </c>
      <c r="J21" s="87">
        <v>428244429.56999993</v>
      </c>
      <c r="K21" s="87">
        <f>SUM(K11:K19)</f>
        <v>660978989</v>
      </c>
      <c r="L21" s="87">
        <f>SUM(L11:L19)</f>
        <v>842688289.77000022</v>
      </c>
      <c r="M21" s="87">
        <f t="shared" ref="M21:R21" si="0">SUM(M11:M20)</f>
        <v>910178869.82000005</v>
      </c>
      <c r="N21" s="87">
        <f t="shared" si="0"/>
        <v>1050935911.4200001</v>
      </c>
      <c r="O21" s="87">
        <f t="shared" si="0"/>
        <v>1230443159.8199999</v>
      </c>
      <c r="P21" s="88">
        <f t="shared" si="0"/>
        <v>1401486790.1600001</v>
      </c>
      <c r="Q21" s="88">
        <f t="shared" si="0"/>
        <v>1939964120.24</v>
      </c>
      <c r="R21" s="87">
        <f t="shared" si="0"/>
        <v>1638704211.3899994</v>
      </c>
      <c r="S21" s="87">
        <f>SUM(S11:S20)</f>
        <v>1907794846.9299996</v>
      </c>
      <c r="T21" s="87">
        <f>SUM(T11:T20)</f>
        <v>2005089819.5699999</v>
      </c>
      <c r="U21" s="87">
        <f>SUM(U11:U20)</f>
        <v>2237166250.4599996</v>
      </c>
      <c r="V21" s="87">
        <f>SUM(V11:V20)</f>
        <v>1181197607.1773794</v>
      </c>
      <c r="W21" s="101"/>
      <c r="X21" s="101"/>
    </row>
    <row r="22" spans="1:24" ht="18" customHeight="1" x14ac:dyDescent="0.2">
      <c r="A22" s="1"/>
      <c r="B22" s="6"/>
      <c r="C22" s="55"/>
      <c r="D22" s="56"/>
      <c r="E22" s="57"/>
      <c r="F22" s="57"/>
      <c r="G22" s="58"/>
      <c r="H22" s="59"/>
      <c r="I22" s="60"/>
      <c r="J22" s="59"/>
      <c r="K22" s="59"/>
      <c r="L22" s="59"/>
      <c r="M22" s="59"/>
      <c r="N22" s="59"/>
      <c r="O22" s="59"/>
      <c r="P22" s="61"/>
      <c r="Q22" s="61"/>
      <c r="R22" s="62"/>
      <c r="S22" s="62"/>
      <c r="T22" s="62"/>
      <c r="U22" s="62"/>
      <c r="V22" s="62"/>
      <c r="W22" s="101"/>
      <c r="X22" s="101"/>
    </row>
    <row r="23" spans="1:24" ht="18" customHeight="1" x14ac:dyDescent="0.2">
      <c r="A23" s="1"/>
      <c r="B23" s="6"/>
      <c r="C23" s="47" t="s">
        <v>9</v>
      </c>
      <c r="D23" s="48">
        <v>50459571.509999998</v>
      </c>
      <c r="E23" s="49">
        <f>49046056.4+0.5</f>
        <v>49046056.899999999</v>
      </c>
      <c r="F23" s="49">
        <v>53370572.049999997</v>
      </c>
      <c r="G23" s="50">
        <v>61837325.5</v>
      </c>
      <c r="H23" s="51">
        <v>65798857.339999996</v>
      </c>
      <c r="I23" s="52">
        <v>65133751.929999992</v>
      </c>
      <c r="J23" s="51">
        <v>61862585.359999992</v>
      </c>
      <c r="K23" s="51">
        <v>64496312</v>
      </c>
      <c r="L23" s="51">
        <v>79195586.420000002</v>
      </c>
      <c r="M23" s="51">
        <v>86763292.560000002</v>
      </c>
      <c r="N23" s="51">
        <v>87726652.430000007</v>
      </c>
      <c r="O23" s="51">
        <f>104976038.41</f>
        <v>104976038.41</v>
      </c>
      <c r="P23" s="53">
        <v>96419716.890000001</v>
      </c>
      <c r="Q23" s="53">
        <v>101438587.16</v>
      </c>
      <c r="R23" s="50">
        <v>117679241.59</v>
      </c>
      <c r="S23" s="50">
        <v>132614772.59</v>
      </c>
      <c r="T23" s="50">
        <v>105087833.81</v>
      </c>
      <c r="U23" s="50">
        <v>138359825.02000001</v>
      </c>
      <c r="V23" s="50">
        <v>37656089.349999987</v>
      </c>
      <c r="W23" s="101"/>
      <c r="X23" s="101"/>
    </row>
    <row r="24" spans="1:24" ht="18" customHeight="1" x14ac:dyDescent="0.2">
      <c r="A24" s="1"/>
      <c r="B24" s="6"/>
      <c r="C24" s="47" t="s">
        <v>10</v>
      </c>
      <c r="D24" s="48">
        <v>891271</v>
      </c>
      <c r="E24" s="49">
        <v>1017442.8</v>
      </c>
      <c r="F24" s="49">
        <v>1070047.3999999999</v>
      </c>
      <c r="G24" s="50">
        <v>1825828.3500000003</v>
      </c>
      <c r="H24" s="51">
        <v>1770626.06</v>
      </c>
      <c r="I24" s="52">
        <v>2184813.4899999998</v>
      </c>
      <c r="J24" s="51">
        <v>2311948.17</v>
      </c>
      <c r="K24" s="51">
        <v>2451763</v>
      </c>
      <c r="L24" s="51">
        <v>2301618.6</v>
      </c>
      <c r="M24" s="51">
        <v>2488125.83</v>
      </c>
      <c r="N24" s="51">
        <v>3006913.96</v>
      </c>
      <c r="O24" s="51">
        <v>3003695.45</v>
      </c>
      <c r="P24" s="53">
        <v>3672868.37</v>
      </c>
      <c r="Q24" s="53">
        <v>4644809.95</v>
      </c>
      <c r="R24" s="50">
        <v>5548644.7199999997</v>
      </c>
      <c r="S24" s="50">
        <v>5083279.26</v>
      </c>
      <c r="T24" s="50">
        <v>4097054.7200000002</v>
      </c>
      <c r="U24" s="50">
        <v>5092841.6499999994</v>
      </c>
      <c r="V24" s="50">
        <v>1770799.0500000007</v>
      </c>
      <c r="W24" s="101"/>
      <c r="X24" s="101"/>
    </row>
    <row r="25" spans="1:24" ht="18" customHeight="1" x14ac:dyDescent="0.2">
      <c r="A25" s="1"/>
      <c r="B25" s="6"/>
      <c r="C25" s="47" t="s">
        <v>11</v>
      </c>
      <c r="D25" s="48">
        <v>17792349</v>
      </c>
      <c r="E25" s="49">
        <f>20398160.4+0.5</f>
        <v>20398160.899999999</v>
      </c>
      <c r="F25" s="49">
        <v>21722507.370000001</v>
      </c>
      <c r="G25" s="50">
        <v>24873375.93</v>
      </c>
      <c r="H25" s="51">
        <v>24942926.640000001</v>
      </c>
      <c r="I25" s="52">
        <v>26045654.100000001</v>
      </c>
      <c r="J25" s="51">
        <v>28378048.129999999</v>
      </c>
      <c r="K25" s="51">
        <v>30892099</v>
      </c>
      <c r="L25" s="51">
        <v>30293853.91</v>
      </c>
      <c r="M25" s="51">
        <v>32113524.379999999</v>
      </c>
      <c r="N25" s="51">
        <v>35498812.719999999</v>
      </c>
      <c r="O25" s="51">
        <v>34332916.990000002</v>
      </c>
      <c r="P25" s="53">
        <v>35317881.490000002</v>
      </c>
      <c r="Q25" s="53">
        <v>33269815.579999998</v>
      </c>
      <c r="R25" s="50">
        <v>35524288.950000003</v>
      </c>
      <c r="S25" s="50">
        <v>38644851.990000002</v>
      </c>
      <c r="T25" s="50">
        <v>30065167.199999999</v>
      </c>
      <c r="U25" s="50">
        <v>42328840.589999996</v>
      </c>
      <c r="V25" s="50">
        <v>10708708.079999674</v>
      </c>
      <c r="W25" s="101"/>
      <c r="X25" s="101"/>
    </row>
    <row r="26" spans="1:24" ht="18" customHeight="1" x14ac:dyDescent="0.2">
      <c r="A26" s="1"/>
      <c r="B26" s="6"/>
      <c r="C26" s="47" t="s">
        <v>12</v>
      </c>
      <c r="D26" s="48">
        <v>1112558.25</v>
      </c>
      <c r="E26" s="49">
        <v>0</v>
      </c>
      <c r="F26" s="49">
        <v>720352.67</v>
      </c>
      <c r="G26" s="50">
        <v>0</v>
      </c>
      <c r="H26" s="51">
        <v>0</v>
      </c>
      <c r="I26" s="52">
        <v>0</v>
      </c>
      <c r="J26" s="51">
        <v>0</v>
      </c>
      <c r="K26" s="51"/>
      <c r="L26" s="51"/>
      <c r="M26" s="51"/>
      <c r="N26" s="51"/>
      <c r="O26" s="51"/>
      <c r="P26" s="53"/>
      <c r="Q26" s="53"/>
      <c r="R26" s="50"/>
      <c r="S26" s="50"/>
      <c r="T26" s="50"/>
      <c r="U26" s="50"/>
      <c r="V26" s="50"/>
      <c r="W26" s="101"/>
      <c r="X26" s="101"/>
    </row>
    <row r="27" spans="1:24" ht="18" customHeight="1" x14ac:dyDescent="0.2">
      <c r="A27" s="1"/>
      <c r="B27" s="6"/>
      <c r="C27" s="47" t="s">
        <v>13</v>
      </c>
      <c r="D27" s="48">
        <v>193312994.11000001</v>
      </c>
      <c r="E27" s="49">
        <v>188140095.89999998</v>
      </c>
      <c r="F27" s="49">
        <v>299223027.44</v>
      </c>
      <c r="G27" s="50">
        <v>260686114.09</v>
      </c>
      <c r="H27" s="51">
        <v>247886148.74000001</v>
      </c>
      <c r="I27" s="52">
        <v>416226174.6500001</v>
      </c>
      <c r="J27" s="51">
        <v>248904609</v>
      </c>
      <c r="K27" s="51">
        <v>378831977</v>
      </c>
      <c r="L27" s="51">
        <v>418312041.83999997</v>
      </c>
      <c r="M27" s="51">
        <v>390357787.50999999</v>
      </c>
      <c r="N27" s="51">
        <v>421291212.33999997</v>
      </c>
      <c r="O27" s="51">
        <v>459533424.01999998</v>
      </c>
      <c r="P27" s="53">
        <v>550525127.25</v>
      </c>
      <c r="Q27" s="53">
        <v>1042649928.87</v>
      </c>
      <c r="R27" s="50">
        <v>584791503.91999996</v>
      </c>
      <c r="S27" s="50">
        <v>668509907.41999996</v>
      </c>
      <c r="T27" s="50">
        <v>645298251.25</v>
      </c>
      <c r="U27" s="50">
        <v>702020321.84000027</v>
      </c>
      <c r="V27" s="50">
        <v>429321597.24050152</v>
      </c>
      <c r="W27" s="101"/>
      <c r="X27" s="101"/>
    </row>
    <row r="28" spans="1:24" ht="18" customHeight="1" x14ac:dyDescent="0.2">
      <c r="A28" s="1"/>
      <c r="B28" s="6"/>
      <c r="C28" s="47" t="s">
        <v>14</v>
      </c>
      <c r="D28" s="48">
        <v>98537.600000000006</v>
      </c>
      <c r="E28" s="49">
        <f>211942.56</f>
        <v>211942.56</v>
      </c>
      <c r="F28" s="49">
        <v>2119740.94</v>
      </c>
      <c r="G28" s="50">
        <v>2938050.43</v>
      </c>
      <c r="H28" s="51">
        <v>2904098.7299999995</v>
      </c>
      <c r="I28" s="52">
        <v>4485382.84</v>
      </c>
      <c r="J28" s="51">
        <v>3668008.65</v>
      </c>
      <c r="K28" s="51">
        <v>3200388</v>
      </c>
      <c r="L28" s="51">
        <v>2441482.8199999998</v>
      </c>
      <c r="M28" s="51">
        <v>2931552.28</v>
      </c>
      <c r="N28" s="51">
        <v>2709162.12</v>
      </c>
      <c r="O28" s="51">
        <v>3408483.32</v>
      </c>
      <c r="P28" s="53">
        <v>4005848.31</v>
      </c>
      <c r="Q28" s="53">
        <v>4372099.5599999996</v>
      </c>
      <c r="R28" s="50">
        <v>4364996.59</v>
      </c>
      <c r="S28" s="50">
        <v>4830458.6700000027</v>
      </c>
      <c r="T28" s="50">
        <v>3971497.58</v>
      </c>
      <c r="U28" s="50">
        <v>5495931.5100000016</v>
      </c>
      <c r="V28" s="50">
        <v>1398776.860000005</v>
      </c>
      <c r="W28" s="101"/>
      <c r="X28" s="101"/>
    </row>
    <row r="29" spans="1:24" ht="18" customHeight="1" x14ac:dyDescent="0.2">
      <c r="A29" s="1"/>
      <c r="B29" s="6"/>
      <c r="C29" s="47" t="s">
        <v>15</v>
      </c>
      <c r="D29" s="48">
        <v>1119601.3999999999</v>
      </c>
      <c r="E29" s="49">
        <f>463297+0.5</f>
        <v>463297.5</v>
      </c>
      <c r="F29" s="49">
        <v>160608.24</v>
      </c>
      <c r="G29" s="50">
        <v>-0.12000000000000455</v>
      </c>
      <c r="H29" s="51">
        <v>-0.12000000000000455</v>
      </c>
      <c r="I29" s="52">
        <v>-0.12000000000000455</v>
      </c>
      <c r="J29" s="51">
        <v>-0.12000000000000455</v>
      </c>
      <c r="K29" s="51"/>
      <c r="L29" s="51"/>
      <c r="M29" s="51"/>
      <c r="N29" s="51"/>
      <c r="O29" s="51"/>
      <c r="P29" s="53"/>
      <c r="Q29" s="53"/>
      <c r="R29" s="50"/>
      <c r="S29" s="50"/>
      <c r="T29" s="50"/>
      <c r="U29" s="50"/>
      <c r="V29" s="50"/>
      <c r="W29" s="101"/>
      <c r="X29" s="101"/>
    </row>
    <row r="30" spans="1:24" ht="18" customHeight="1" x14ac:dyDescent="0.2">
      <c r="A30" s="1"/>
      <c r="B30" s="6"/>
      <c r="C30" s="47" t="s">
        <v>16</v>
      </c>
      <c r="D30" s="48">
        <v>0</v>
      </c>
      <c r="E30" s="49">
        <v>0</v>
      </c>
      <c r="F30" s="49">
        <v>914</v>
      </c>
      <c r="G30" s="50">
        <v>1601.49</v>
      </c>
      <c r="H30" s="51">
        <v>5047.9399999999996</v>
      </c>
      <c r="I30" s="52">
        <v>906.53</v>
      </c>
      <c r="J30" s="51">
        <v>5744.29</v>
      </c>
      <c r="K30" s="51"/>
      <c r="L30" s="51"/>
      <c r="M30" s="51"/>
      <c r="N30" s="51"/>
      <c r="O30" s="51"/>
      <c r="P30" s="53"/>
      <c r="Q30" s="53"/>
      <c r="R30" s="50"/>
      <c r="S30" s="50"/>
      <c r="T30" s="50"/>
      <c r="U30" s="50"/>
      <c r="V30" s="50"/>
      <c r="W30" s="101"/>
      <c r="X30" s="101"/>
    </row>
    <row r="31" spans="1:24" ht="18" customHeight="1" x14ac:dyDescent="0.2">
      <c r="A31" s="1"/>
      <c r="B31" s="6"/>
      <c r="C31" s="63" t="s">
        <v>17</v>
      </c>
      <c r="D31" s="50"/>
      <c r="E31" s="50"/>
      <c r="F31" s="51"/>
      <c r="G31" s="51">
        <v>361889.31999999995</v>
      </c>
      <c r="H31" s="51">
        <v>401446.04000000004</v>
      </c>
      <c r="I31" s="51">
        <v>452405.09999999992</v>
      </c>
      <c r="J31" s="51">
        <v>441642.73999999993</v>
      </c>
      <c r="K31" s="51">
        <v>526948</v>
      </c>
      <c r="L31" s="51">
        <v>539932.12</v>
      </c>
      <c r="M31" s="51">
        <f>532962.54-1</f>
        <v>532961.54</v>
      </c>
      <c r="N31" s="51">
        <v>546508.9</v>
      </c>
      <c r="O31" s="51">
        <v>519897.66</v>
      </c>
      <c r="P31" s="53">
        <v>431973.17</v>
      </c>
      <c r="Q31" s="53">
        <v>679254.07</v>
      </c>
      <c r="R31" s="50">
        <v>853022.81</v>
      </c>
      <c r="S31" s="50">
        <v>1053974.46</v>
      </c>
      <c r="T31" s="50">
        <v>694417.55</v>
      </c>
      <c r="U31" s="50">
        <v>1168475.5899999999</v>
      </c>
      <c r="V31" s="50">
        <v>281260.38</v>
      </c>
      <c r="W31" s="101"/>
      <c r="X31" s="101"/>
    </row>
    <row r="32" spans="1:24" ht="18" customHeight="1" x14ac:dyDescent="0.2">
      <c r="A32" s="1"/>
      <c r="B32" s="6"/>
      <c r="C32" s="64" t="s">
        <v>18</v>
      </c>
      <c r="D32" s="50"/>
      <c r="E32" s="50"/>
      <c r="F32" s="51"/>
      <c r="G32" s="51">
        <v>0</v>
      </c>
      <c r="H32" s="51">
        <v>0</v>
      </c>
      <c r="I32" s="51">
        <v>790419.25</v>
      </c>
      <c r="J32" s="51">
        <v>703207.7</v>
      </c>
      <c r="K32" s="51">
        <v>964773</v>
      </c>
      <c r="L32" s="51">
        <v>1076142.2</v>
      </c>
      <c r="M32" s="51">
        <v>917017.2</v>
      </c>
      <c r="N32" s="51">
        <v>1214180.8</v>
      </c>
      <c r="O32" s="51">
        <v>1961362.4</v>
      </c>
      <c r="P32" s="53">
        <v>1765742</v>
      </c>
      <c r="Q32" s="53">
        <v>2037868.6</v>
      </c>
      <c r="R32" s="50">
        <v>2119440.7999999998</v>
      </c>
      <c r="S32" s="50">
        <v>2251100.2899999996</v>
      </c>
      <c r="T32" s="50">
        <v>2163267.4500000002</v>
      </c>
      <c r="U32" s="50">
        <v>2440889.6800000002</v>
      </c>
      <c r="V32" s="50">
        <v>741017.03</v>
      </c>
      <c r="W32" s="101"/>
      <c r="X32" s="101"/>
    </row>
    <row r="33" spans="1:24" ht="18" customHeight="1" x14ac:dyDescent="0.2">
      <c r="A33" s="1"/>
      <c r="B33" s="6"/>
      <c r="C33" s="64" t="s">
        <v>19</v>
      </c>
      <c r="D33" s="50"/>
      <c r="E33" s="50"/>
      <c r="F33" s="51"/>
      <c r="G33" s="51"/>
      <c r="H33" s="51"/>
      <c r="I33" s="51"/>
      <c r="J33" s="51">
        <v>113515.48</v>
      </c>
      <c r="K33" s="51">
        <v>26195</v>
      </c>
      <c r="L33" s="51">
        <v>129207.96</v>
      </c>
      <c r="M33" s="51">
        <f>119261.34-1</f>
        <v>119260.34</v>
      </c>
      <c r="N33" s="51">
        <v>360364.27</v>
      </c>
      <c r="O33" s="51">
        <v>937092.8</v>
      </c>
      <c r="P33" s="53">
        <v>969386.88</v>
      </c>
      <c r="Q33" s="53">
        <v>1242883.1200000001</v>
      </c>
      <c r="R33" s="50">
        <v>1486219.98</v>
      </c>
      <c r="S33" s="50">
        <v>1432149.1900000002</v>
      </c>
      <c r="T33" s="50">
        <v>1654191.95</v>
      </c>
      <c r="U33" s="50">
        <v>1865065.29</v>
      </c>
      <c r="V33" s="50">
        <v>531443.46</v>
      </c>
      <c r="W33" s="102"/>
      <c r="X33" s="101"/>
    </row>
    <row r="34" spans="1:24" ht="18" customHeight="1" x14ac:dyDescent="0.2">
      <c r="A34" s="1"/>
      <c r="B34" s="6"/>
      <c r="C34" s="64" t="s">
        <v>73</v>
      </c>
      <c r="D34" s="50"/>
      <c r="E34" s="50"/>
      <c r="F34" s="51"/>
      <c r="G34" s="51"/>
      <c r="H34" s="51"/>
      <c r="I34" s="51"/>
      <c r="J34" s="51"/>
      <c r="K34" s="51">
        <v>27232389</v>
      </c>
      <c r="L34" s="51">
        <f>36837965.49+1</f>
        <v>36837966.490000002</v>
      </c>
      <c r="M34" s="51">
        <v>40974899.280000001</v>
      </c>
      <c r="N34" s="51">
        <f>34423804.39+1</f>
        <v>34423805.390000001</v>
      </c>
      <c r="O34" s="51">
        <v>38013322.539999999</v>
      </c>
      <c r="P34" s="53">
        <v>45321048.93</v>
      </c>
      <c r="Q34" s="53">
        <v>139879832.53999999</v>
      </c>
      <c r="R34" s="50">
        <v>28993939.5</v>
      </c>
      <c r="S34" s="50">
        <v>46333825.799999997</v>
      </c>
      <c r="T34" s="50">
        <v>52318598.18</v>
      </c>
      <c r="U34" s="50">
        <v>48745963.399999991</v>
      </c>
      <c r="V34" s="50">
        <v>6651310.219998003</v>
      </c>
      <c r="W34" s="101"/>
      <c r="X34" s="101"/>
    </row>
    <row r="35" spans="1:24" ht="18" customHeight="1" x14ac:dyDescent="0.2">
      <c r="A35" s="1"/>
      <c r="B35" s="89"/>
      <c r="C35" s="90" t="s">
        <v>69</v>
      </c>
      <c r="D35" s="87">
        <f t="shared" ref="D35:K35" si="1">SUM(D23:D34)</f>
        <v>264786882.87</v>
      </c>
      <c r="E35" s="87">
        <f t="shared" si="1"/>
        <v>259276996.55999997</v>
      </c>
      <c r="F35" s="87">
        <f t="shared" si="1"/>
        <v>378387770.11000001</v>
      </c>
      <c r="G35" s="87">
        <f t="shared" si="1"/>
        <v>352524184.99000001</v>
      </c>
      <c r="H35" s="87">
        <f t="shared" si="1"/>
        <v>343709151.37</v>
      </c>
      <c r="I35" s="87">
        <f t="shared" si="1"/>
        <v>515319507.77000004</v>
      </c>
      <c r="J35" s="87">
        <f t="shared" si="1"/>
        <v>346389309.39999998</v>
      </c>
      <c r="K35" s="87">
        <f t="shared" si="1"/>
        <v>508622844</v>
      </c>
      <c r="L35" s="87">
        <f>SUM(L23:L34)</f>
        <v>571127832.3599999</v>
      </c>
      <c r="M35" s="87">
        <f t="shared" ref="M35:R35" si="2">SUM(M23:M34)</f>
        <v>557198420.91999996</v>
      </c>
      <c r="N35" s="87">
        <f t="shared" si="2"/>
        <v>586777612.92999983</v>
      </c>
      <c r="O35" s="87">
        <f t="shared" si="2"/>
        <v>646686233.58999991</v>
      </c>
      <c r="P35" s="87">
        <f t="shared" si="2"/>
        <v>738429593.28999984</v>
      </c>
      <c r="Q35" s="87">
        <f t="shared" si="2"/>
        <v>1330215079.4499996</v>
      </c>
      <c r="R35" s="87">
        <f t="shared" si="2"/>
        <v>781361298.8599999</v>
      </c>
      <c r="S35" s="87">
        <f>SUM(S23:S34)</f>
        <v>900754319.66999996</v>
      </c>
      <c r="T35" s="87">
        <f>SUM(T23:T34)</f>
        <v>845350279.69000006</v>
      </c>
      <c r="U35" s="87">
        <f>SUM(U23:U34)</f>
        <v>947518154.57000017</v>
      </c>
      <c r="V35" s="87">
        <f>SUM(V23:V34)</f>
        <v>489061001.67049915</v>
      </c>
      <c r="W35" s="101"/>
      <c r="X35" s="101"/>
    </row>
    <row r="36" spans="1:24" ht="18" customHeight="1" x14ac:dyDescent="0.2">
      <c r="A36" s="1"/>
      <c r="B36" s="6"/>
      <c r="C36" s="65"/>
      <c r="D36" s="58"/>
      <c r="E36" s="58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61"/>
      <c r="Q36" s="61"/>
      <c r="R36" s="62"/>
      <c r="S36" s="62"/>
      <c r="T36" s="62"/>
      <c r="U36" s="62"/>
      <c r="V36" s="62"/>
      <c r="W36" s="101"/>
      <c r="X36" s="101"/>
    </row>
    <row r="37" spans="1:24" ht="18" customHeight="1" x14ac:dyDescent="0.2">
      <c r="A37" s="1"/>
      <c r="B37" s="6"/>
      <c r="C37" s="64" t="s">
        <v>20</v>
      </c>
      <c r="D37" s="50">
        <v>18189937.18</v>
      </c>
      <c r="E37" s="50">
        <v>550516</v>
      </c>
      <c r="F37" s="51">
        <v>76571</v>
      </c>
      <c r="G37" s="51">
        <v>245461</v>
      </c>
      <c r="H37" s="51">
        <v>1202886</v>
      </c>
      <c r="I37" s="51">
        <v>2786843.8</v>
      </c>
      <c r="J37" s="51">
        <v>177222550.19999999</v>
      </c>
      <c r="K37" s="51">
        <v>1438228</v>
      </c>
      <c r="L37" s="51">
        <f>67.9+37210379.17</f>
        <v>37210447.07</v>
      </c>
      <c r="M37" s="51">
        <v>722034.03</v>
      </c>
      <c r="N37" s="51">
        <v>3538761.38</v>
      </c>
      <c r="O37" s="51">
        <v>3545594.1</v>
      </c>
      <c r="P37" s="53">
        <f>2266496.68+7000</f>
        <v>2273496.6800000002</v>
      </c>
      <c r="Q37" s="53">
        <v>2197324.61</v>
      </c>
      <c r="R37" s="50">
        <v>6285339.8799999999</v>
      </c>
      <c r="S37" s="50">
        <v>4997493.34</v>
      </c>
      <c r="T37" s="50">
        <v>4756629.2</v>
      </c>
      <c r="U37" s="50">
        <v>13181840.489999998</v>
      </c>
      <c r="V37" s="50">
        <v>835994</v>
      </c>
      <c r="W37" s="101"/>
      <c r="X37" s="101"/>
    </row>
    <row r="38" spans="1:24" ht="18" customHeight="1" x14ac:dyDescent="0.2">
      <c r="A38" s="1"/>
      <c r="B38" s="6"/>
      <c r="C38" s="64" t="s">
        <v>21</v>
      </c>
      <c r="D38" s="50">
        <v>5099248.75</v>
      </c>
      <c r="E38" s="50">
        <f>733052.43+0.5</f>
        <v>733052.93</v>
      </c>
      <c r="F38" s="51">
        <v>431185.46</v>
      </c>
      <c r="G38" s="51">
        <v>927416</v>
      </c>
      <c r="H38" s="51">
        <v>969131</v>
      </c>
      <c r="I38" s="51">
        <v>1700231.44</v>
      </c>
      <c r="J38" s="51">
        <v>4943954</v>
      </c>
      <c r="K38" s="51">
        <f>3000+204275+2140+1222791+57900+100700+16318</f>
        <v>1607124</v>
      </c>
      <c r="L38" s="51">
        <f>183.83+181204+1770+64700+1124300.23+2458256.03</f>
        <v>3830414.09</v>
      </c>
      <c r="M38" s="51">
        <f>52989256.65-51824022.25</f>
        <v>1165234.3999999985</v>
      </c>
      <c r="N38" s="51">
        <f>52929733.79-51063959.49+1</f>
        <v>1865775.299999997</v>
      </c>
      <c r="O38" s="51">
        <f>40659321.42-36351345.64</f>
        <v>4307975.7800000012</v>
      </c>
      <c r="P38" s="53">
        <f>32585357.47-30656548.91</f>
        <v>1928808.5599999987</v>
      </c>
      <c r="Q38" s="53">
        <f>82385980.46-79726512.96</f>
        <v>2659467.5</v>
      </c>
      <c r="R38" s="50">
        <f>111941504.61-105563000.42</f>
        <v>6378504.1899999976</v>
      </c>
      <c r="S38" s="50">
        <f>117439540.05-S39</f>
        <v>8100516.0900000036</v>
      </c>
      <c r="T38" s="50">
        <f>23767355.74-T39</f>
        <v>3193446.3199999966</v>
      </c>
      <c r="U38" s="50">
        <f>24741191.06-U39</f>
        <v>9418512.4799999949</v>
      </c>
      <c r="V38" s="50">
        <f>4021543.43-V39</f>
        <v>1716140.0000000005</v>
      </c>
      <c r="W38" s="101"/>
      <c r="X38" s="101"/>
    </row>
    <row r="39" spans="1:24" ht="18" customHeight="1" x14ac:dyDescent="0.2">
      <c r="A39" s="1"/>
      <c r="B39" s="6"/>
      <c r="C39" s="64" t="s">
        <v>22</v>
      </c>
      <c r="D39" s="50">
        <v>9580684.7799999993</v>
      </c>
      <c r="E39" s="50">
        <f>54531938.18+0.5</f>
        <v>54531938.68</v>
      </c>
      <c r="F39" s="51">
        <v>71796808.680000007</v>
      </c>
      <c r="G39" s="51">
        <v>82128847.929999992</v>
      </c>
      <c r="H39" s="51">
        <v>153347234.71999997</v>
      </c>
      <c r="I39" s="51">
        <v>102728539.05999999</v>
      </c>
      <c r="J39" s="51">
        <v>54241224</v>
      </c>
      <c r="K39" s="51">
        <v>68358511</v>
      </c>
      <c r="L39" s="51">
        <f>72045650.07+1</f>
        <v>72045651.069999993</v>
      </c>
      <c r="M39" s="51">
        <v>51824022.25</v>
      </c>
      <c r="N39" s="51">
        <v>51063959.490000002</v>
      </c>
      <c r="O39" s="51">
        <v>36351345.640000001</v>
      </c>
      <c r="P39" s="53">
        <v>30656548.91</v>
      </c>
      <c r="Q39" s="53">
        <v>79726512.959999993</v>
      </c>
      <c r="R39" s="50">
        <v>105563000.42</v>
      </c>
      <c r="S39" s="50">
        <v>109339023.95999999</v>
      </c>
      <c r="T39" s="50">
        <v>20573909.420000002</v>
      </c>
      <c r="U39" s="50">
        <v>15322678.580000004</v>
      </c>
      <c r="V39" s="50">
        <v>2305403.4299999997</v>
      </c>
      <c r="W39" s="101"/>
      <c r="X39" s="101"/>
    </row>
    <row r="40" spans="1:24" ht="18" customHeight="1" x14ac:dyDescent="0.2">
      <c r="A40" s="1"/>
      <c r="B40" s="6"/>
      <c r="C40" s="64" t="s">
        <v>74</v>
      </c>
      <c r="D40" s="50">
        <v>186266.25</v>
      </c>
      <c r="E40" s="50">
        <f>146514.92</f>
        <v>146514.92000000001</v>
      </c>
      <c r="F40" s="51">
        <v>1066634.92</v>
      </c>
      <c r="G40" s="51">
        <v>1246606.3500000001</v>
      </c>
      <c r="H40" s="51">
        <v>1759904.8399999999</v>
      </c>
      <c r="I40" s="51">
        <v>1886586.35</v>
      </c>
      <c r="J40" s="51">
        <v>1817957.87</v>
      </c>
      <c r="K40" s="51">
        <v>3711586</v>
      </c>
      <c r="L40" s="51"/>
      <c r="M40" s="51"/>
      <c r="N40" s="51"/>
      <c r="O40" s="51"/>
      <c r="P40" s="53"/>
      <c r="Q40" s="53"/>
      <c r="R40" s="54"/>
      <c r="S40" s="54"/>
      <c r="T40" s="54"/>
      <c r="U40" s="54"/>
      <c r="V40" s="54"/>
      <c r="W40" s="101"/>
      <c r="X40" s="101"/>
    </row>
    <row r="41" spans="1:24" ht="18" customHeight="1" x14ac:dyDescent="0.2">
      <c r="A41" s="1"/>
      <c r="B41" s="6"/>
      <c r="C41" s="90" t="s">
        <v>23</v>
      </c>
      <c r="D41" s="87">
        <f t="shared" ref="D41:Q41" si="3">SUM(D37:D40)</f>
        <v>33056136.960000001</v>
      </c>
      <c r="E41" s="87">
        <f t="shared" si="3"/>
        <v>55962022.530000001</v>
      </c>
      <c r="F41" s="87">
        <f t="shared" si="3"/>
        <v>73371200.060000002</v>
      </c>
      <c r="G41" s="87">
        <f t="shared" si="3"/>
        <v>84548331.279999986</v>
      </c>
      <c r="H41" s="87">
        <f t="shared" si="3"/>
        <v>157279156.55999997</v>
      </c>
      <c r="I41" s="87">
        <f t="shared" si="3"/>
        <v>109102200.64999998</v>
      </c>
      <c r="J41" s="87">
        <f t="shared" si="3"/>
        <v>238225686.06999999</v>
      </c>
      <c r="K41" s="87">
        <f t="shared" si="3"/>
        <v>75115449</v>
      </c>
      <c r="L41" s="87">
        <f t="shared" si="3"/>
        <v>113086512.22999999</v>
      </c>
      <c r="M41" s="87">
        <f t="shared" si="3"/>
        <v>53711290.68</v>
      </c>
      <c r="N41" s="87">
        <f t="shared" si="3"/>
        <v>56468496.170000002</v>
      </c>
      <c r="O41" s="87">
        <f t="shared" si="3"/>
        <v>44204915.520000003</v>
      </c>
      <c r="P41" s="87">
        <f t="shared" si="3"/>
        <v>34858854.149999999</v>
      </c>
      <c r="Q41" s="87">
        <f t="shared" si="3"/>
        <v>84583305.069999993</v>
      </c>
      <c r="R41" s="87">
        <f>SUM(R37:R40)</f>
        <v>118226844.48999999</v>
      </c>
      <c r="S41" s="87">
        <f>SUM(S37:S40)</f>
        <v>122437033.39</v>
      </c>
      <c r="T41" s="87">
        <f>SUM(T37:T40)</f>
        <v>28523984.939999998</v>
      </c>
      <c r="U41" s="87">
        <f>SUM(U37:U40)</f>
        <v>37923031.549999997</v>
      </c>
      <c r="V41" s="87">
        <f>SUM(V37:V40)</f>
        <v>4857537.43</v>
      </c>
      <c r="W41" s="101"/>
      <c r="X41" s="101"/>
    </row>
    <row r="42" spans="1:24" ht="18" customHeight="1" x14ac:dyDescent="0.2">
      <c r="A42" s="1"/>
      <c r="B42" s="6"/>
      <c r="C42" s="65"/>
      <c r="D42" s="58"/>
      <c r="E42" s="58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61"/>
      <c r="Q42" s="61"/>
      <c r="R42" s="62"/>
      <c r="S42" s="62"/>
      <c r="T42" s="62"/>
      <c r="U42" s="62"/>
      <c r="V42" s="62"/>
      <c r="W42" s="101"/>
      <c r="X42" s="101"/>
    </row>
    <row r="43" spans="1:24" ht="18" customHeight="1" x14ac:dyDescent="0.2">
      <c r="A43" s="1"/>
      <c r="B43" s="6"/>
      <c r="C43" s="107" t="s">
        <v>24</v>
      </c>
      <c r="D43" s="50">
        <v>18335130.449999999</v>
      </c>
      <c r="E43" s="50">
        <v>18828415.309999999</v>
      </c>
      <c r="F43" s="51">
        <v>43521089.469999999</v>
      </c>
      <c r="G43" s="51">
        <v>31472832.709999997</v>
      </c>
      <c r="H43" s="51">
        <v>22296160.060000006</v>
      </c>
      <c r="I43" s="51">
        <v>57031202.660000011</v>
      </c>
      <c r="J43" s="51">
        <v>21635429.670000002</v>
      </c>
      <c r="K43" s="51"/>
      <c r="L43" s="51"/>
      <c r="M43" s="51"/>
      <c r="N43" s="51"/>
      <c r="O43" s="51"/>
      <c r="P43" s="53"/>
      <c r="Q43" s="53"/>
      <c r="R43" s="54"/>
      <c r="S43" s="54"/>
      <c r="T43" s="54"/>
      <c r="U43" s="54"/>
      <c r="V43" s="54"/>
      <c r="W43" s="101"/>
      <c r="X43" s="101"/>
    </row>
    <row r="44" spans="1:24" ht="18" customHeight="1" x14ac:dyDescent="0.2">
      <c r="A44" s="1"/>
      <c r="B44" s="6"/>
      <c r="C44" s="107" t="s">
        <v>25</v>
      </c>
      <c r="D44" s="50">
        <v>15092080.080000002</v>
      </c>
      <c r="E44" s="50">
        <v>18469635.330000006</v>
      </c>
      <c r="F44" s="51">
        <v>29949908.419999998</v>
      </c>
      <c r="G44" s="51">
        <v>8168160.1299999999</v>
      </c>
      <c r="H44" s="51">
        <v>11380585.850000001</v>
      </c>
      <c r="I44" s="51">
        <v>10308303.859999999</v>
      </c>
      <c r="J44" s="51">
        <v>4546588.1899999995</v>
      </c>
      <c r="K44" s="51">
        <v>3461392</v>
      </c>
      <c r="L44" s="51">
        <v>3180861.11</v>
      </c>
      <c r="M44" s="51">
        <v>2797511.94</v>
      </c>
      <c r="N44" s="51">
        <v>3017550.49</v>
      </c>
      <c r="O44" s="51">
        <v>2740121.16</v>
      </c>
      <c r="P44" s="53">
        <v>2959217.9</v>
      </c>
      <c r="Q44" s="53">
        <v>3040788.85</v>
      </c>
      <c r="R44" s="53">
        <v>2898556.06</v>
      </c>
      <c r="S44" s="53">
        <v>3808030.65</v>
      </c>
      <c r="T44" s="53">
        <v>2486850.7000000002</v>
      </c>
      <c r="U44" s="53">
        <v>2434029.7500000005</v>
      </c>
      <c r="V44" s="53">
        <v>989970.82000000193</v>
      </c>
      <c r="W44" s="101"/>
      <c r="X44" s="101"/>
    </row>
    <row r="45" spans="1:24" ht="18" customHeight="1" x14ac:dyDescent="0.2">
      <c r="A45" s="1"/>
      <c r="B45" s="6"/>
      <c r="C45" s="107" t="s">
        <v>26</v>
      </c>
      <c r="D45" s="50">
        <v>19693083.960000005</v>
      </c>
      <c r="E45" s="50">
        <v>8358410.6900000004</v>
      </c>
      <c r="F45" s="51">
        <v>16825114.490000002</v>
      </c>
      <c r="G45" s="51">
        <v>18691688.640000004</v>
      </c>
      <c r="H45" s="51">
        <v>23403879.900000002</v>
      </c>
      <c r="I45" s="51">
        <v>27787287.68</v>
      </c>
      <c r="J45" s="51">
        <v>32987175.049999997</v>
      </c>
      <c r="K45" s="51">
        <f>977261+10012521+47675395</f>
        <v>58665177</v>
      </c>
      <c r="L45" s="51">
        <f>3815697.75+61236719.56+41809389.41</f>
        <v>106861806.72</v>
      </c>
      <c r="M45" s="51">
        <f>6753793.17+266573852.25+31993403.52+13776172.78+1</f>
        <v>319097222.71999997</v>
      </c>
      <c r="N45" s="51">
        <f>269485112.36-3017550.49</f>
        <v>266467561.87</v>
      </c>
      <c r="O45" s="51">
        <f>237546905.14-O44</f>
        <v>234806783.97999999</v>
      </c>
      <c r="P45" s="53">
        <f>334495083.76-2959217.9</f>
        <v>331535865.86000001</v>
      </c>
      <c r="Q45" s="53">
        <f>181208678.72-3040788.85</f>
        <v>178167889.87</v>
      </c>
      <c r="R45" s="53">
        <f>163471536.94-2898556.06</f>
        <v>160572980.88</v>
      </c>
      <c r="S45" s="53">
        <f>269011323.26-S44</f>
        <v>265203292.60999998</v>
      </c>
      <c r="T45" s="53">
        <f>220936801.43-T44</f>
        <v>218449950.73000002</v>
      </c>
      <c r="U45" s="53">
        <f>186426076.7-U44</f>
        <v>183992046.94999999</v>
      </c>
      <c r="V45" s="53">
        <f>56721772.6100009-V44</f>
        <v>55731801.790000901</v>
      </c>
      <c r="W45" s="101"/>
      <c r="X45" s="101"/>
    </row>
    <row r="46" spans="1:24" ht="18" customHeight="1" x14ac:dyDescent="0.2">
      <c r="A46" s="1"/>
      <c r="B46" s="6"/>
      <c r="C46" s="87" t="s">
        <v>27</v>
      </c>
      <c r="D46" s="87">
        <f t="shared" ref="D46:Q46" si="4">SUM(D43:D45)</f>
        <v>53120294.49000001</v>
      </c>
      <c r="E46" s="87">
        <f t="shared" si="4"/>
        <v>45656461.329999998</v>
      </c>
      <c r="F46" s="87">
        <f t="shared" si="4"/>
        <v>90296112.379999995</v>
      </c>
      <c r="G46" s="87">
        <f t="shared" si="4"/>
        <v>58332681.480000004</v>
      </c>
      <c r="H46" s="87">
        <f t="shared" si="4"/>
        <v>57080625.810000017</v>
      </c>
      <c r="I46" s="87">
        <f t="shared" si="4"/>
        <v>95126794.200000018</v>
      </c>
      <c r="J46" s="87">
        <f t="shared" si="4"/>
        <v>59169192.909999996</v>
      </c>
      <c r="K46" s="87">
        <f t="shared" si="4"/>
        <v>62126569</v>
      </c>
      <c r="L46" s="87">
        <f t="shared" si="4"/>
        <v>110042667.83</v>
      </c>
      <c r="M46" s="87">
        <f t="shared" si="4"/>
        <v>321894734.65999997</v>
      </c>
      <c r="N46" s="87">
        <f t="shared" si="4"/>
        <v>269485112.36000001</v>
      </c>
      <c r="O46" s="87">
        <f t="shared" si="4"/>
        <v>237546905.13999999</v>
      </c>
      <c r="P46" s="87">
        <f t="shared" si="4"/>
        <v>334495083.75999999</v>
      </c>
      <c r="Q46" s="87">
        <f t="shared" si="4"/>
        <v>181208678.72</v>
      </c>
      <c r="R46" s="87">
        <f>SUM(R43:R45)</f>
        <v>163471536.94</v>
      </c>
      <c r="S46" s="87">
        <f>SUM(S43:S45)</f>
        <v>269011323.25999999</v>
      </c>
      <c r="T46" s="87">
        <f>SUM(T43:T45)</f>
        <v>220936801.43000001</v>
      </c>
      <c r="U46" s="87">
        <f>SUM(U43:U45)</f>
        <v>186426076.69999999</v>
      </c>
      <c r="V46" s="87">
        <f>SUM(V43:V45)</f>
        <v>56721772.610000901</v>
      </c>
      <c r="W46" s="101"/>
      <c r="X46" s="101"/>
    </row>
    <row r="47" spans="1:24" ht="18" customHeight="1" x14ac:dyDescent="0.2">
      <c r="A47" s="1"/>
      <c r="B47" s="6"/>
      <c r="C47" s="66" t="s">
        <v>28</v>
      </c>
      <c r="D47" s="116">
        <v>0</v>
      </c>
      <c r="E47" s="116">
        <f>29953715.12</f>
        <v>29953715.120000001</v>
      </c>
      <c r="F47" s="116">
        <v>29711281.199999999</v>
      </c>
      <c r="G47" s="116">
        <v>35892548.270000003</v>
      </c>
      <c r="H47" s="116">
        <v>12136053.760000002</v>
      </c>
      <c r="I47" s="116">
        <v>14517734.690000001</v>
      </c>
      <c r="J47" s="116">
        <v>64848872.569999993</v>
      </c>
      <c r="K47" s="116">
        <v>64990766</v>
      </c>
      <c r="L47" s="116">
        <v>53996919.020000003</v>
      </c>
      <c r="M47" s="116"/>
      <c r="N47" s="116"/>
      <c r="O47" s="116"/>
      <c r="P47" s="117">
        <v>17085835.43</v>
      </c>
      <c r="Q47" s="114"/>
      <c r="R47" s="114"/>
      <c r="S47" s="114"/>
      <c r="T47" s="114"/>
      <c r="U47" s="114"/>
      <c r="V47" s="114"/>
      <c r="W47" s="115"/>
      <c r="X47" s="101"/>
    </row>
    <row r="48" spans="1:24" ht="18" customHeight="1" x14ac:dyDescent="0.2">
      <c r="A48" s="1"/>
      <c r="B48" s="6"/>
      <c r="C48" s="90" t="s">
        <v>29</v>
      </c>
      <c r="D48" s="87">
        <f t="shared" ref="D48:Q48" si="5">+D21+D35+D41+D46+D47</f>
        <v>526957628.61999995</v>
      </c>
      <c r="E48" s="87">
        <f t="shared" si="5"/>
        <v>574528696.88999999</v>
      </c>
      <c r="F48" s="87">
        <f t="shared" si="5"/>
        <v>917291297.2700001</v>
      </c>
      <c r="G48" s="87">
        <f t="shared" si="5"/>
        <v>907426333.32999992</v>
      </c>
      <c r="H48" s="87">
        <f t="shared" si="5"/>
        <v>968476968.80999994</v>
      </c>
      <c r="I48" s="87">
        <f t="shared" si="5"/>
        <v>1195382633.3700001</v>
      </c>
      <c r="J48" s="87">
        <f t="shared" si="5"/>
        <v>1136877490.52</v>
      </c>
      <c r="K48" s="87">
        <f t="shared" si="5"/>
        <v>1371834617</v>
      </c>
      <c r="L48" s="87">
        <f t="shared" si="5"/>
        <v>1690942221.21</v>
      </c>
      <c r="M48" s="87">
        <f t="shared" si="5"/>
        <v>1842983316.0799999</v>
      </c>
      <c r="N48" s="87">
        <f t="shared" si="5"/>
        <v>1963667132.8800001</v>
      </c>
      <c r="O48" s="87">
        <f t="shared" si="5"/>
        <v>2158881214.0699997</v>
      </c>
      <c r="P48" s="87">
        <f t="shared" si="5"/>
        <v>2526356156.7899995</v>
      </c>
      <c r="Q48" s="87">
        <f t="shared" si="5"/>
        <v>3535971183.4799995</v>
      </c>
      <c r="R48" s="87">
        <f>+R21+R35+R41+R46+R47+1</f>
        <v>2701763892.6799989</v>
      </c>
      <c r="S48" s="87">
        <f>+S21+S35+S41+S46+S47+1</f>
        <v>3199997524.249999</v>
      </c>
      <c r="T48" s="87">
        <f>+T21+T35+T41+T46+T47+1</f>
        <v>3099900886.6300001</v>
      </c>
      <c r="U48" s="87">
        <f>+U21+U35+U41+U46+U47</f>
        <v>3409033513.2799997</v>
      </c>
      <c r="V48" s="87">
        <f>+V21+V35+V41+V46+V47</f>
        <v>1731837918.8878794</v>
      </c>
      <c r="W48" s="102"/>
      <c r="X48" s="101"/>
    </row>
    <row r="49" spans="1:24" ht="18" customHeight="1" x14ac:dyDescent="0.2">
      <c r="A49" s="1"/>
      <c r="B49" s="6"/>
      <c r="C49" s="30"/>
      <c r="D49" s="33"/>
      <c r="E49" s="33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6"/>
      <c r="Q49" s="36"/>
      <c r="R49" s="31"/>
      <c r="S49" s="31"/>
      <c r="T49" s="31"/>
      <c r="U49" s="31"/>
      <c r="V49" s="31"/>
      <c r="W49" s="101"/>
      <c r="X49" s="101"/>
    </row>
    <row r="50" spans="1:24" ht="18" customHeight="1" x14ac:dyDescent="0.2">
      <c r="A50" s="1"/>
      <c r="B50" s="94"/>
      <c r="C50" s="95" t="s">
        <v>30</v>
      </c>
      <c r="D50" s="74">
        <v>0</v>
      </c>
      <c r="E50" s="74">
        <v>0</v>
      </c>
      <c r="F50" s="74">
        <v>0</v>
      </c>
      <c r="G50" s="74">
        <v>0</v>
      </c>
      <c r="H50" s="74">
        <v>588250000</v>
      </c>
      <c r="I50" s="74">
        <v>0</v>
      </c>
      <c r="J50" s="74">
        <v>0</v>
      </c>
      <c r="K50" s="74">
        <v>0</v>
      </c>
      <c r="L50" s="74">
        <v>0</v>
      </c>
      <c r="M50" s="74">
        <v>0</v>
      </c>
      <c r="N50" s="74">
        <v>0</v>
      </c>
      <c r="O50" s="74">
        <v>0</v>
      </c>
      <c r="P50" s="74">
        <v>0</v>
      </c>
      <c r="Q50" s="74">
        <v>0</v>
      </c>
      <c r="R50" s="73"/>
      <c r="S50" s="73"/>
      <c r="T50" s="73"/>
      <c r="U50" s="73"/>
      <c r="V50" s="73"/>
      <c r="W50" s="102"/>
      <c r="X50" s="101"/>
    </row>
    <row r="51" spans="1:24" ht="18" customHeight="1" x14ac:dyDescent="0.2">
      <c r="A51" s="1"/>
      <c r="B51" s="6"/>
      <c r="C51" s="30"/>
      <c r="D51" s="33"/>
      <c r="E51" s="33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6"/>
      <c r="Q51" s="36"/>
      <c r="R51" s="31"/>
      <c r="S51" s="31"/>
      <c r="T51" s="31"/>
      <c r="U51" s="31"/>
      <c r="V51" s="31"/>
      <c r="W51" s="101"/>
      <c r="X51" s="101"/>
    </row>
    <row r="52" spans="1:24" ht="18" customHeight="1" x14ac:dyDescent="0.2">
      <c r="A52" s="1"/>
      <c r="B52" s="6"/>
      <c r="C52" s="46" t="s">
        <v>31</v>
      </c>
      <c r="D52" s="43">
        <v>2753936023</v>
      </c>
      <c r="E52" s="43">
        <v>3034847661</v>
      </c>
      <c r="F52" s="44">
        <v>3621345763</v>
      </c>
      <c r="G52" s="44">
        <v>3580723975</v>
      </c>
      <c r="H52" s="44">
        <v>4369328164</v>
      </c>
      <c r="I52" s="44">
        <v>3683133223.21</v>
      </c>
      <c r="J52" s="44">
        <v>4384986726</v>
      </c>
      <c r="K52" s="44">
        <v>4868528564</v>
      </c>
      <c r="L52" s="44">
        <v>5113390945</v>
      </c>
      <c r="M52" s="44">
        <v>5702474209</v>
      </c>
      <c r="N52" s="44">
        <v>6163418330</v>
      </c>
      <c r="O52" s="44">
        <v>6234959766</v>
      </c>
      <c r="P52" s="45">
        <v>6637990272</v>
      </c>
      <c r="Q52" s="45">
        <v>7531785686</v>
      </c>
      <c r="R52" s="45">
        <v>8315544228</v>
      </c>
      <c r="S52" s="45">
        <v>8076469121</v>
      </c>
      <c r="T52" s="45">
        <v>8086899875</v>
      </c>
      <c r="U52" s="45">
        <v>8972438678</v>
      </c>
      <c r="V52" s="45">
        <v>2861421017</v>
      </c>
      <c r="W52" s="103"/>
      <c r="X52" s="101"/>
    </row>
    <row r="53" spans="1:24" ht="18" customHeight="1" x14ac:dyDescent="0.2">
      <c r="A53" s="1"/>
      <c r="B53" s="6"/>
      <c r="C53" s="46" t="s">
        <v>32</v>
      </c>
      <c r="D53" s="43"/>
      <c r="E53" s="43"/>
      <c r="F53" s="44"/>
      <c r="G53" s="44"/>
      <c r="H53" s="44">
        <v>218643521</v>
      </c>
      <c r="I53" s="44">
        <v>185077997.70000002</v>
      </c>
      <c r="J53" s="44">
        <v>208216165</v>
      </c>
      <c r="K53" s="44">
        <v>247888897</v>
      </c>
      <c r="L53" s="44">
        <v>295959245</v>
      </c>
      <c r="M53" s="44">
        <v>285759422</v>
      </c>
      <c r="N53" s="44">
        <v>361062868</v>
      </c>
      <c r="O53" s="44">
        <v>337823188</v>
      </c>
      <c r="P53" s="45">
        <v>381849013</v>
      </c>
      <c r="Q53" s="45">
        <v>454951920</v>
      </c>
      <c r="R53" s="45">
        <v>468955744</v>
      </c>
      <c r="S53" s="45">
        <v>461089777</v>
      </c>
      <c r="T53" s="45">
        <v>480027534</v>
      </c>
      <c r="U53" s="45">
        <v>479152792</v>
      </c>
      <c r="V53" s="45">
        <v>116110399</v>
      </c>
      <c r="W53" s="101"/>
      <c r="X53" s="101"/>
    </row>
    <row r="54" spans="1:24" ht="18" customHeight="1" x14ac:dyDescent="0.2">
      <c r="A54" s="1"/>
      <c r="B54" s="6"/>
      <c r="C54" s="46" t="s">
        <v>33</v>
      </c>
      <c r="D54" s="43">
        <v>267808897</v>
      </c>
      <c r="E54" s="43">
        <v>288166914</v>
      </c>
      <c r="F54" s="44">
        <v>358278712</v>
      </c>
      <c r="G54" s="44">
        <v>343665160</v>
      </c>
      <c r="H54" s="44">
        <v>398866223</v>
      </c>
      <c r="I54" s="44">
        <v>362908733.44999999</v>
      </c>
      <c r="J54" s="44">
        <v>398489450</v>
      </c>
      <c r="K54" s="44">
        <v>418119137</v>
      </c>
      <c r="L54" s="44">
        <v>439298691</v>
      </c>
      <c r="M54" s="44">
        <v>465779413</v>
      </c>
      <c r="N54" s="44">
        <v>493815645</v>
      </c>
      <c r="O54" s="44">
        <v>522042680</v>
      </c>
      <c r="P54" s="45">
        <v>563811158</v>
      </c>
      <c r="Q54" s="45">
        <v>660343154</v>
      </c>
      <c r="R54" s="45">
        <v>700845842</v>
      </c>
      <c r="S54" s="45">
        <v>691662810</v>
      </c>
      <c r="T54" s="45">
        <v>646625931</v>
      </c>
      <c r="U54" s="45">
        <v>687779137</v>
      </c>
      <c r="V54" s="45">
        <v>217929250</v>
      </c>
      <c r="W54" s="101"/>
      <c r="X54" s="101"/>
    </row>
    <row r="55" spans="1:24" ht="18" customHeight="1" x14ac:dyDescent="0.2">
      <c r="A55" s="1"/>
      <c r="B55" s="6"/>
      <c r="C55" s="46" t="s">
        <v>34</v>
      </c>
      <c r="D55" s="43">
        <v>132663881</v>
      </c>
      <c r="E55" s="43">
        <v>134969790.94</v>
      </c>
      <c r="F55" s="44">
        <v>161123033</v>
      </c>
      <c r="G55" s="44">
        <v>153846278</v>
      </c>
      <c r="H55" s="44">
        <v>155803570</v>
      </c>
      <c r="I55" s="44">
        <v>167565554.48000002</v>
      </c>
      <c r="J55" s="44">
        <v>139593812</v>
      </c>
      <c r="K55" s="44">
        <v>40802932</v>
      </c>
      <c r="L55" s="44">
        <v>29469135.079999998</v>
      </c>
      <c r="M55" s="44">
        <v>11791287</v>
      </c>
      <c r="N55" s="44">
        <v>4417331.74</v>
      </c>
      <c r="O55" s="44">
        <v>1046090.95</v>
      </c>
      <c r="P55" s="45">
        <v>293287.15000000002</v>
      </c>
      <c r="Q55" s="45">
        <v>67836.27</v>
      </c>
      <c r="R55" s="45">
        <v>9429.5400000000009</v>
      </c>
      <c r="S55" s="45">
        <v>14310.810000000001</v>
      </c>
      <c r="T55" s="45">
        <v>116013.51</v>
      </c>
      <c r="U55" s="45">
        <v>24391.170000000002</v>
      </c>
      <c r="V55" s="45">
        <v>0</v>
      </c>
      <c r="W55" s="101"/>
      <c r="X55" s="101"/>
    </row>
    <row r="56" spans="1:24" ht="18" customHeight="1" x14ac:dyDescent="0.2">
      <c r="A56" s="1"/>
      <c r="B56" s="6"/>
      <c r="C56" s="46" t="s">
        <v>35</v>
      </c>
      <c r="D56" s="43">
        <v>47775419</v>
      </c>
      <c r="E56" s="43">
        <v>55083685</v>
      </c>
      <c r="F56" s="44">
        <v>76780663</v>
      </c>
      <c r="G56" s="44">
        <v>82140808</v>
      </c>
      <c r="H56" s="44">
        <v>97293378</v>
      </c>
      <c r="I56" s="44">
        <v>111464680</v>
      </c>
      <c r="J56" s="44">
        <v>91919922</v>
      </c>
      <c r="K56" s="44">
        <v>98070334</v>
      </c>
      <c r="L56" s="44">
        <v>103444590</v>
      </c>
      <c r="M56" s="44">
        <v>118930733</v>
      </c>
      <c r="N56" s="44">
        <v>125215799</v>
      </c>
      <c r="O56" s="44">
        <v>154020860</v>
      </c>
      <c r="P56" s="45">
        <v>141731267</v>
      </c>
      <c r="Q56" s="45">
        <v>163918698</v>
      </c>
      <c r="R56" s="45">
        <v>205637361</v>
      </c>
      <c r="S56" s="45">
        <v>252052015</v>
      </c>
      <c r="T56" s="45">
        <v>217066665</v>
      </c>
      <c r="U56" s="45">
        <v>247853339</v>
      </c>
      <c r="V56" s="45">
        <v>68448423</v>
      </c>
      <c r="W56" s="101"/>
      <c r="X56" s="101"/>
    </row>
    <row r="57" spans="1:24" ht="18" customHeight="1" x14ac:dyDescent="0.2">
      <c r="A57" s="1"/>
      <c r="B57" s="6"/>
      <c r="C57" s="46" t="s">
        <v>36</v>
      </c>
      <c r="D57" s="43"/>
      <c r="E57" s="43"/>
      <c r="F57" s="44"/>
      <c r="G57" s="44"/>
      <c r="H57" s="44">
        <v>72924095.829999998</v>
      </c>
      <c r="I57" s="44">
        <v>223699073.87999997</v>
      </c>
      <c r="J57" s="44">
        <v>263889863.66</v>
      </c>
      <c r="K57" s="44">
        <v>237614790</v>
      </c>
      <c r="L57" s="44">
        <v>244944352.09999999</v>
      </c>
      <c r="M57" s="44">
        <v>231630675.47</v>
      </c>
      <c r="N57" s="44">
        <f>21801284.37+7090860.75+273496379</f>
        <v>302388524.12</v>
      </c>
      <c r="O57" s="44">
        <f>348238880+884066.61+0.88</f>
        <v>349122947.49000001</v>
      </c>
      <c r="P57" s="45">
        <v>366534019</v>
      </c>
      <c r="Q57" s="45">
        <v>354635786</v>
      </c>
      <c r="R57" s="45">
        <v>350630509</v>
      </c>
      <c r="S57" s="45">
        <v>346900312</v>
      </c>
      <c r="T57" s="45">
        <v>286267939</v>
      </c>
      <c r="U57" s="45">
        <v>251158899</v>
      </c>
      <c r="V57" s="45">
        <v>65407168</v>
      </c>
      <c r="W57" s="101"/>
      <c r="X57" s="101"/>
    </row>
    <row r="58" spans="1:24" ht="18" customHeight="1" x14ac:dyDescent="0.2">
      <c r="A58" s="1"/>
      <c r="B58" s="6"/>
      <c r="C58" s="46" t="s">
        <v>37</v>
      </c>
      <c r="D58" s="43">
        <v>38089349</v>
      </c>
      <c r="E58" s="43">
        <v>33751452</v>
      </c>
      <c r="F58" s="44">
        <v>40493802</v>
      </c>
      <c r="G58" s="44">
        <v>49439636</v>
      </c>
      <c r="H58" s="44">
        <v>46911884</v>
      </c>
      <c r="I58" s="44">
        <v>21262123.940000001</v>
      </c>
      <c r="J58" s="44">
        <v>18603713.759999998</v>
      </c>
      <c r="K58" s="44">
        <v>15978068</v>
      </c>
      <c r="L58" s="44">
        <v>49433392.630000003</v>
      </c>
      <c r="M58" s="44">
        <v>70457084</v>
      </c>
      <c r="N58" s="44">
        <v>89184798.849999994</v>
      </c>
      <c r="O58" s="44">
        <v>109759883.97</v>
      </c>
      <c r="P58" s="45">
        <v>162505530</v>
      </c>
      <c r="Q58" s="45">
        <v>164816255.78</v>
      </c>
      <c r="R58" s="45">
        <v>173218178.34</v>
      </c>
      <c r="S58" s="45">
        <v>147369455.84999999</v>
      </c>
      <c r="T58" s="45">
        <v>105861218.42</v>
      </c>
      <c r="U58" s="45">
        <v>135071342.80000001</v>
      </c>
      <c r="V58" s="45">
        <v>34774715.010000005</v>
      </c>
      <c r="W58" s="101"/>
      <c r="X58" s="101"/>
    </row>
    <row r="59" spans="1:24" ht="18" customHeight="1" x14ac:dyDescent="0.2">
      <c r="A59" s="1"/>
      <c r="B59" s="6"/>
      <c r="C59" s="46" t="s">
        <v>38</v>
      </c>
      <c r="D59" s="43"/>
      <c r="E59" s="43"/>
      <c r="F59" s="44"/>
      <c r="G59" s="44"/>
      <c r="H59" s="44"/>
      <c r="I59" s="44">
        <v>13249952</v>
      </c>
      <c r="J59" s="44">
        <v>14009174</v>
      </c>
      <c r="K59" s="44">
        <f>14526113-1</f>
        <v>14526112</v>
      </c>
      <c r="L59" s="44">
        <v>15002053</v>
      </c>
      <c r="M59" s="44">
        <v>15652176</v>
      </c>
      <c r="N59" s="44">
        <v>16292300</v>
      </c>
      <c r="O59" s="44">
        <v>16903680</v>
      </c>
      <c r="P59" s="45">
        <v>17388816</v>
      </c>
      <c r="Q59" s="45">
        <v>17830500</v>
      </c>
      <c r="R59" s="45">
        <v>18956023</v>
      </c>
      <c r="S59" s="45">
        <v>19836888</v>
      </c>
      <c r="T59" s="45">
        <v>20620440</v>
      </c>
      <c r="U59" s="45">
        <v>21307104</v>
      </c>
      <c r="V59" s="45">
        <v>5639988</v>
      </c>
      <c r="W59" s="101"/>
      <c r="X59" s="101"/>
    </row>
    <row r="60" spans="1:24" ht="18" customHeight="1" x14ac:dyDescent="0.2">
      <c r="A60" s="1"/>
      <c r="B60" s="6"/>
      <c r="C60" s="46" t="s">
        <v>77</v>
      </c>
      <c r="D60" s="43"/>
      <c r="E60" s="43"/>
      <c r="F60" s="44"/>
      <c r="G60" s="44"/>
      <c r="H60" s="44"/>
      <c r="I60" s="44"/>
      <c r="J60" s="44"/>
      <c r="K60" s="44"/>
      <c r="L60" s="44"/>
      <c r="M60" s="44"/>
      <c r="N60" s="44">
        <v>22522779</v>
      </c>
      <c r="O60" s="44">
        <v>27420698</v>
      </c>
      <c r="P60" s="45">
        <v>25760005</v>
      </c>
      <c r="Q60" s="45">
        <v>24785750</v>
      </c>
      <c r="R60" s="45">
        <v>23532348</v>
      </c>
      <c r="S60" s="45">
        <v>21583452</v>
      </c>
      <c r="T60" s="45">
        <v>19532674</v>
      </c>
      <c r="U60" s="45">
        <v>17489380</v>
      </c>
      <c r="V60" s="45">
        <v>4390524</v>
      </c>
      <c r="W60" s="101"/>
      <c r="X60" s="101"/>
    </row>
    <row r="61" spans="1:24" ht="18" customHeight="1" x14ac:dyDescent="0.2">
      <c r="A61" s="1"/>
      <c r="B61" s="6"/>
      <c r="C61" s="46" t="s">
        <v>39</v>
      </c>
      <c r="D61" s="43">
        <v>3505553</v>
      </c>
      <c r="E61" s="43">
        <v>3053125</v>
      </c>
      <c r="F61" s="44">
        <v>3089319</v>
      </c>
      <c r="G61" s="44">
        <v>27542161</v>
      </c>
      <c r="H61" s="44">
        <v>15320342</v>
      </c>
      <c r="I61" s="44">
        <v>12873089</v>
      </c>
      <c r="J61" s="44">
        <v>20054593</v>
      </c>
      <c r="K61" s="44">
        <v>19808917</v>
      </c>
      <c r="L61" s="44">
        <v>22757413</v>
      </c>
      <c r="M61" s="44">
        <v>25681945</v>
      </c>
      <c r="N61" s="44">
        <v>47241242</v>
      </c>
      <c r="O61" s="44">
        <v>52941244</v>
      </c>
      <c r="P61" s="45">
        <v>61070070</v>
      </c>
      <c r="Q61" s="45">
        <v>90200497</v>
      </c>
      <c r="R61" s="45">
        <v>74744986</v>
      </c>
      <c r="S61" s="45">
        <v>85964477</v>
      </c>
      <c r="T61" s="45">
        <v>95101787</v>
      </c>
      <c r="U61" s="45">
        <v>102554658</v>
      </c>
      <c r="V61" s="45">
        <v>45983813</v>
      </c>
      <c r="W61" s="101"/>
      <c r="X61" s="101"/>
    </row>
    <row r="62" spans="1:24" ht="18" customHeight="1" x14ac:dyDescent="0.2">
      <c r="A62" s="1"/>
      <c r="B62" s="6"/>
      <c r="C62" s="46" t="s">
        <v>40</v>
      </c>
      <c r="D62" s="43">
        <v>10935361</v>
      </c>
      <c r="E62" s="43">
        <v>13702263.75</v>
      </c>
      <c r="F62" s="44">
        <v>35495051.25</v>
      </c>
      <c r="G62" s="44">
        <v>20718853.75</v>
      </c>
      <c r="H62" s="44">
        <v>21433719.25</v>
      </c>
      <c r="I62" s="44">
        <v>16367001</v>
      </c>
      <c r="J62" s="44">
        <v>24435337.280000001</v>
      </c>
      <c r="K62" s="44">
        <f>105493+29067+3349817+2061476+24428948+971427+87311-1</f>
        <v>31033538</v>
      </c>
      <c r="L62" s="44">
        <f>3072900+20268265+1025818.5+4974484+1219704+25496.25+6589643</f>
        <v>37176310.75</v>
      </c>
      <c r="M62" s="44">
        <f>3045225+11686845+578967.75+1506996+7141716</f>
        <v>23959749.75</v>
      </c>
      <c r="N62" s="44">
        <f>2661068.03+3991384.37+497041.9+25582232+389127.32+7389013+141935+1036786</f>
        <v>41688587.620000005</v>
      </c>
      <c r="O62" s="44">
        <f>5518113.47+2314827.7+20049632+134129.3+21622032+165854+180111+235070.77</f>
        <v>50219770.240000002</v>
      </c>
      <c r="P62" s="45">
        <v>49731180.249999993</v>
      </c>
      <c r="Q62" s="45">
        <v>63663958.450000003</v>
      </c>
      <c r="R62" s="45">
        <f>76387288.66+436748.57</f>
        <v>76824037.229999989</v>
      </c>
      <c r="S62" s="45">
        <v>106819020.34999999</v>
      </c>
      <c r="T62" s="45">
        <v>18908831.710000001</v>
      </c>
      <c r="U62" s="45">
        <v>432041269.90000004</v>
      </c>
      <c r="V62" s="45">
        <v>7146584.7599999998</v>
      </c>
      <c r="W62" s="101"/>
      <c r="X62" s="101"/>
    </row>
    <row r="63" spans="1:24" ht="18" customHeight="1" x14ac:dyDescent="0.2">
      <c r="A63" s="1"/>
      <c r="B63" s="6"/>
      <c r="C63" s="46" t="s">
        <v>41</v>
      </c>
      <c r="D63" s="43">
        <v>12502387.5</v>
      </c>
      <c r="E63" s="43">
        <v>6018887</v>
      </c>
      <c r="F63" s="44">
        <v>5078857</v>
      </c>
      <c r="G63" s="44">
        <v>21667851</v>
      </c>
      <c r="H63" s="44">
        <v>25135676.539999999</v>
      </c>
      <c r="I63" s="44">
        <v>25502806.990000002</v>
      </c>
      <c r="J63" s="44">
        <v>25527451.649999999</v>
      </c>
      <c r="K63" s="44">
        <f>16428351+5772405+3792939</f>
        <v>25993695</v>
      </c>
      <c r="L63" s="44">
        <f>135247+129548+117035+127866+18799961.82+6617126.35+4053563.66</f>
        <v>29980347.830000002</v>
      </c>
      <c r="M63" s="44">
        <f>15015879.5+6703132+4315771+47048+193345+40147+47361</f>
        <v>26362683.5</v>
      </c>
      <c r="N63" s="44">
        <f>18126+106661.26+28261+43344.26+6306299.74+1533429.15+976000.74</f>
        <v>9012122.1500000004</v>
      </c>
      <c r="O63" s="44">
        <f>284963.82+24105.38+2129+46414+3741.23+433052.5+23789+81077</f>
        <v>899271.92999999993</v>
      </c>
      <c r="P63" s="45">
        <f>22530+12398.57-15188-12398.57+306829.5+39649+3847</f>
        <v>357667.5</v>
      </c>
      <c r="Q63" s="45">
        <f>5853+84235.5+718</f>
        <v>90806.5</v>
      </c>
      <c r="R63" s="45">
        <f>68+5165</f>
        <v>5233</v>
      </c>
      <c r="S63" s="45">
        <v>0</v>
      </c>
      <c r="T63" s="45">
        <v>0</v>
      </c>
      <c r="U63" s="45"/>
      <c r="V63" s="45"/>
      <c r="W63" s="101"/>
      <c r="X63" s="101"/>
    </row>
    <row r="64" spans="1:24" ht="18" customHeight="1" x14ac:dyDescent="0.2">
      <c r="A64" s="1"/>
      <c r="B64" s="6"/>
      <c r="C64" s="46" t="s">
        <v>42</v>
      </c>
      <c r="D64" s="43">
        <v>3785724</v>
      </c>
      <c r="E64" s="43">
        <v>2425374</v>
      </c>
      <c r="F64" s="44">
        <v>1573731</v>
      </c>
      <c r="G64" s="44">
        <v>10326022.5</v>
      </c>
      <c r="H64" s="44">
        <v>15220148.460000001</v>
      </c>
      <c r="I64" s="44">
        <v>12400568.560000001</v>
      </c>
      <c r="J64" s="44">
        <f>16060750.62+0.5</f>
        <v>16060751.119999999</v>
      </c>
      <c r="K64" s="44">
        <v>14562695</v>
      </c>
      <c r="L64" s="44">
        <v>14643743.859999999</v>
      </c>
      <c r="M64" s="44">
        <v>16182560</v>
      </c>
      <c r="N64" s="44">
        <v>22605756.5</v>
      </c>
      <c r="O64" s="44">
        <v>24342649.579999998</v>
      </c>
      <c r="P64" s="45">
        <v>31674918.59</v>
      </c>
      <c r="Q64" s="45">
        <v>36036207.82</v>
      </c>
      <c r="R64" s="45">
        <v>35354945.740000002</v>
      </c>
      <c r="S64" s="45">
        <v>38547022.550000004</v>
      </c>
      <c r="T64" s="45">
        <f>33456020.19+8303404.7</f>
        <v>41759424.890000001</v>
      </c>
      <c r="U64" s="45">
        <v>66790632.640000001</v>
      </c>
      <c r="V64" s="45">
        <v>18739122.73</v>
      </c>
      <c r="W64" s="101"/>
      <c r="X64" s="101"/>
    </row>
    <row r="65" spans="1:24" ht="18" customHeight="1" x14ac:dyDescent="0.2">
      <c r="A65" s="1"/>
      <c r="B65" s="6"/>
      <c r="C65" s="46" t="s">
        <v>80</v>
      </c>
      <c r="D65" s="43"/>
      <c r="E65" s="43"/>
      <c r="F65" s="44"/>
      <c r="G65" s="44"/>
      <c r="H65" s="44"/>
      <c r="I65" s="44"/>
      <c r="J65" s="44"/>
      <c r="K65" s="44"/>
      <c r="L65" s="44"/>
      <c r="M65" s="44"/>
      <c r="N65" s="44"/>
      <c r="O65" s="44">
        <f>414034277+60180198</f>
        <v>474214475</v>
      </c>
      <c r="P65" s="45">
        <f>550462857+97296620</f>
        <v>647759477</v>
      </c>
      <c r="Q65" s="45">
        <f>732122397+119398211</f>
        <v>851520608</v>
      </c>
      <c r="R65" s="45">
        <f>800629952+211772716</f>
        <v>1012402668</v>
      </c>
      <c r="S65" s="45">
        <f>691637115+201192181</f>
        <v>892829296</v>
      </c>
      <c r="T65" s="45">
        <f>693668451+241597441</f>
        <v>935265892</v>
      </c>
      <c r="U65" s="45">
        <v>1092362040</v>
      </c>
      <c r="V65" s="45">
        <v>231131105</v>
      </c>
      <c r="W65" s="101"/>
      <c r="X65" s="101"/>
    </row>
    <row r="66" spans="1:24" ht="18" customHeight="1" x14ac:dyDescent="0.2">
      <c r="A66" s="1"/>
      <c r="B66" s="6"/>
      <c r="C66" s="46" t="s">
        <v>43</v>
      </c>
      <c r="D66" s="43">
        <v>0</v>
      </c>
      <c r="E66" s="43">
        <v>0</v>
      </c>
      <c r="F66" s="44">
        <v>8068715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/>
      <c r="M66" s="44"/>
      <c r="N66" s="44"/>
      <c r="O66" s="44"/>
      <c r="P66" s="45"/>
      <c r="Q66" s="45"/>
      <c r="R66" s="45"/>
      <c r="S66" s="45"/>
      <c r="T66" s="45"/>
      <c r="U66" s="45"/>
      <c r="V66" s="45"/>
      <c r="W66" s="101"/>
      <c r="X66" s="101"/>
    </row>
    <row r="67" spans="1:24" ht="18" customHeight="1" x14ac:dyDescent="0.2">
      <c r="A67" s="1"/>
      <c r="B67" s="6"/>
      <c r="C67" s="46" t="s">
        <v>44</v>
      </c>
      <c r="D67" s="43"/>
      <c r="E67" s="43"/>
      <c r="F67" s="44"/>
      <c r="G67" s="44">
        <v>1342787.26</v>
      </c>
      <c r="H67" s="44">
        <v>1250419.43</v>
      </c>
      <c r="I67" s="44">
        <v>658112.9</v>
      </c>
      <c r="J67" s="44">
        <v>1265230.53</v>
      </c>
      <c r="K67" s="44">
        <v>1592467</v>
      </c>
      <c r="L67" s="44">
        <v>1406407.45</v>
      </c>
      <c r="M67" s="44">
        <v>517886.88</v>
      </c>
      <c r="N67" s="44">
        <v>2382611.69</v>
      </c>
      <c r="O67" s="44">
        <v>2239136.41</v>
      </c>
      <c r="P67" s="45">
        <v>2856106.14</v>
      </c>
      <c r="Q67" s="45">
        <v>2000857</v>
      </c>
      <c r="R67" s="45">
        <v>1474081.78</v>
      </c>
      <c r="S67" s="45">
        <v>2459688.89</v>
      </c>
      <c r="T67" s="45">
        <v>2560392.44</v>
      </c>
      <c r="U67" s="45">
        <v>2576894.79</v>
      </c>
      <c r="V67" s="45">
        <v>580512.77</v>
      </c>
      <c r="W67" s="101"/>
      <c r="X67" s="101"/>
    </row>
    <row r="68" spans="1:24" ht="18" customHeight="1" x14ac:dyDescent="0.2">
      <c r="A68" s="1"/>
      <c r="B68" s="6"/>
      <c r="C68" s="46" t="s">
        <v>45</v>
      </c>
      <c r="D68" s="43"/>
      <c r="E68" s="43"/>
      <c r="F68" s="44"/>
      <c r="G68" s="44">
        <v>11356509.749999998</v>
      </c>
      <c r="H68" s="44">
        <v>12036348.789999999</v>
      </c>
      <c r="I68" s="44">
        <v>18270274.300000001</v>
      </c>
      <c r="J68" s="44">
        <v>15929688.48</v>
      </c>
      <c r="K68" s="44">
        <f>23006552+11597733-9430814-1091198-55040</f>
        <v>24027233</v>
      </c>
      <c r="L68" s="44">
        <v>21258363</v>
      </c>
      <c r="M68" s="44">
        <f>219531+2086468.83+899831.25+2069772+101747.25+44382+14341+14938+1169720+224611+153381+274047+254999.25+5728359+2304.75+26666+425836.73+437640.75+695527+65869.5+8270+372+3412+288576+57894+38825+73718+41318.25+1427387+1675.5</f>
        <v>16851421.060000002</v>
      </c>
      <c r="N68" s="44">
        <f>16652146.22-N69+3059380.1</f>
        <v>11519572.869999999</v>
      </c>
      <c r="O68" s="44">
        <f>12694820.37-O69+789715.38</f>
        <v>5060815.6599999992</v>
      </c>
      <c r="P68" s="45">
        <v>2225658.16</v>
      </c>
      <c r="Q68" s="45">
        <v>1187602.8799999999</v>
      </c>
      <c r="R68" s="45">
        <v>740662.15</v>
      </c>
      <c r="S68" s="45">
        <v>2051599.61</v>
      </c>
      <c r="T68" s="45">
        <v>3348000.81</v>
      </c>
      <c r="U68" s="45">
        <v>8686154.5300000012</v>
      </c>
      <c r="V68" s="45">
        <v>4436197.21</v>
      </c>
      <c r="W68" s="101"/>
      <c r="X68" s="101"/>
    </row>
    <row r="69" spans="1:24" ht="18" customHeight="1" x14ac:dyDescent="0.2">
      <c r="A69" s="1"/>
      <c r="B69" s="6"/>
      <c r="C69" s="46" t="s">
        <v>46</v>
      </c>
      <c r="D69" s="43"/>
      <c r="E69" s="43"/>
      <c r="F69" s="44"/>
      <c r="G69" s="44">
        <v>9473732</v>
      </c>
      <c r="H69" s="44">
        <v>12308393.369999999</v>
      </c>
      <c r="I69" s="44">
        <v>11132052.189999999</v>
      </c>
      <c r="J69" s="44">
        <v>9219004.5600000005</v>
      </c>
      <c r="K69" s="44">
        <f>9430814+1091198+55040</f>
        <v>10577052</v>
      </c>
      <c r="L69" s="44">
        <v>11404119</v>
      </c>
      <c r="M69" s="44">
        <f>549406.76+1392287+8209581+730194+179798+2</f>
        <v>11061268.76</v>
      </c>
      <c r="N69" s="44">
        <f>235173.78+1263874+6352388+124540+110284.67+105693</f>
        <v>8191953.4500000002</v>
      </c>
      <c r="O69" s="44">
        <f>23716.76+1712479.01+5979033.82+619050.5+89440</f>
        <v>8423720.0899999999</v>
      </c>
      <c r="P69" s="45">
        <v>7708152.3799999999</v>
      </c>
      <c r="Q69" s="45">
        <v>13102607.470000001</v>
      </c>
      <c r="R69" s="45">
        <v>11494398.289999999</v>
      </c>
      <c r="S69" s="45">
        <v>15776188.949999999</v>
      </c>
      <c r="T69" s="45">
        <v>18020534.899999999</v>
      </c>
      <c r="U69" s="45">
        <v>18269521.969999999</v>
      </c>
      <c r="V69" s="45">
        <v>6067019.5699999994</v>
      </c>
      <c r="W69" s="101"/>
      <c r="X69" s="101"/>
    </row>
    <row r="70" spans="1:24" ht="36" customHeight="1" x14ac:dyDescent="0.2">
      <c r="A70" s="1"/>
      <c r="B70" s="6"/>
      <c r="C70" s="118" t="s">
        <v>83</v>
      </c>
      <c r="D70" s="119"/>
      <c r="E70" s="119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120"/>
      <c r="Q70" s="120"/>
      <c r="R70" s="120"/>
      <c r="S70" s="121">
        <v>486199132</v>
      </c>
      <c r="T70" s="121">
        <v>1074748033</v>
      </c>
      <c r="U70" s="121">
        <v>137657357</v>
      </c>
      <c r="V70" s="121">
        <v>22748241</v>
      </c>
      <c r="W70" s="101"/>
      <c r="X70" s="101"/>
    </row>
    <row r="71" spans="1:24" ht="18" customHeight="1" x14ac:dyDescent="0.2">
      <c r="A71" s="1"/>
      <c r="B71" s="6"/>
      <c r="C71" s="90" t="s">
        <v>47</v>
      </c>
      <c r="D71" s="88">
        <f t="shared" ref="D71:Q71" si="6">SUM(D52:D69)</f>
        <v>3271002594.5</v>
      </c>
      <c r="E71" s="88">
        <f t="shared" si="6"/>
        <v>3572019152.6900001</v>
      </c>
      <c r="F71" s="88">
        <f t="shared" si="6"/>
        <v>4311327646.25</v>
      </c>
      <c r="G71" s="88">
        <f t="shared" si="6"/>
        <v>4312243774.2600002</v>
      </c>
      <c r="H71" s="88">
        <f t="shared" si="6"/>
        <v>5462475883.6700001</v>
      </c>
      <c r="I71" s="88">
        <f t="shared" si="6"/>
        <v>4865565243.5999994</v>
      </c>
      <c r="J71" s="88">
        <f t="shared" si="6"/>
        <v>5632200883.039999</v>
      </c>
      <c r="K71" s="88">
        <f t="shared" si="6"/>
        <v>6069124431</v>
      </c>
      <c r="L71" s="88">
        <f t="shared" si="6"/>
        <v>6429569108.6999998</v>
      </c>
      <c r="M71" s="88">
        <f t="shared" si="6"/>
        <v>7023092514.420001</v>
      </c>
      <c r="N71" s="88">
        <f t="shared" si="6"/>
        <v>7720960221.9899988</v>
      </c>
      <c r="O71" s="88">
        <f t="shared" si="6"/>
        <v>8371440877.3199997</v>
      </c>
      <c r="P71" s="88">
        <f t="shared" si="6"/>
        <v>9101246597.1699982</v>
      </c>
      <c r="Q71" s="88">
        <f t="shared" si="6"/>
        <v>10430938731.17</v>
      </c>
      <c r="R71" s="88">
        <f>SUM(R52:R69)</f>
        <v>11470370675.070002</v>
      </c>
      <c r="S71" s="88">
        <f>SUM(S52:S70)</f>
        <v>11647624567.01</v>
      </c>
      <c r="T71" s="88">
        <f>SUM(T52:T70)</f>
        <v>12052731186.679998</v>
      </c>
      <c r="U71" s="88">
        <f>SUM(U52:U70)</f>
        <v>12673213591.799999</v>
      </c>
      <c r="V71" s="88">
        <f>SUM(V52:V70)</f>
        <v>3710954080.0500007</v>
      </c>
      <c r="W71" s="102"/>
      <c r="X71" s="101"/>
    </row>
    <row r="72" spans="1:24" ht="18" customHeight="1" x14ac:dyDescent="0.2">
      <c r="A72" s="1"/>
      <c r="B72" s="6"/>
      <c r="C72" s="30"/>
      <c r="D72" s="33"/>
      <c r="E72" s="33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6"/>
      <c r="Q72" s="36"/>
      <c r="R72" s="31"/>
      <c r="S72" s="31"/>
      <c r="T72" s="31"/>
      <c r="U72" s="31"/>
      <c r="V72" s="31"/>
      <c r="W72" s="101"/>
      <c r="X72" s="101"/>
    </row>
    <row r="73" spans="1:24" ht="18" customHeight="1" x14ac:dyDescent="0.2">
      <c r="A73" s="1"/>
      <c r="B73" s="6"/>
      <c r="C73" s="42" t="s">
        <v>48</v>
      </c>
      <c r="D73" s="38">
        <v>521316107.00999993</v>
      </c>
      <c r="E73" s="38">
        <v>990881402.60000002</v>
      </c>
      <c r="F73" s="39">
        <v>621661647.45000005</v>
      </c>
      <c r="G73" s="39">
        <v>1972041130.8099999</v>
      </c>
      <c r="H73" s="39">
        <v>2455674926.5</v>
      </c>
      <c r="I73" s="39">
        <v>5170182757.6299992</v>
      </c>
      <c r="J73" s="39">
        <v>4437737587.2399998</v>
      </c>
      <c r="K73" s="39">
        <f>154863717+4597513998-1</f>
        <v>4752377714</v>
      </c>
      <c r="L73" s="39">
        <v>4693692756.7299995</v>
      </c>
      <c r="M73" s="39">
        <v>5618859759.1300001</v>
      </c>
      <c r="N73" s="39">
        <v>7954152183.6400003</v>
      </c>
      <c r="O73" s="39">
        <v>9806737124.4599991</v>
      </c>
      <c r="P73" s="40">
        <v>8650835660.6700001</v>
      </c>
      <c r="Q73" s="40">
        <v>6581875638.04</v>
      </c>
      <c r="R73" s="40">
        <v>7444021662.7600002</v>
      </c>
      <c r="S73" s="122">
        <f>5169698789.58-486199132</f>
        <v>4683499657.5799999</v>
      </c>
      <c r="T73" s="122">
        <f>4716659252.98-1074748033</f>
        <v>3641911219.9799995</v>
      </c>
      <c r="U73" s="122">
        <f>4720682093.77-U70</f>
        <v>4583024736.7700005</v>
      </c>
      <c r="V73" s="122">
        <f>892105483.99-V70</f>
        <v>869357242.99000001</v>
      </c>
      <c r="W73" s="102"/>
      <c r="X73" s="101"/>
    </row>
    <row r="74" spans="1:24" ht="18" customHeight="1" x14ac:dyDescent="0.2">
      <c r="A74" s="1"/>
      <c r="B74" s="6"/>
      <c r="C74" s="42" t="s">
        <v>49</v>
      </c>
      <c r="D74" s="38">
        <v>6258633</v>
      </c>
      <c r="E74" s="38">
        <v>6349714.0099999998</v>
      </c>
      <c r="F74" s="39">
        <v>7453466</v>
      </c>
      <c r="G74" s="39"/>
      <c r="H74" s="39"/>
      <c r="I74" s="39"/>
      <c r="J74" s="39"/>
      <c r="K74" s="39"/>
      <c r="L74" s="39"/>
      <c r="M74" s="39"/>
      <c r="N74" s="39"/>
      <c r="O74" s="39"/>
      <c r="P74" s="40"/>
      <c r="Q74" s="40"/>
      <c r="R74" s="41"/>
      <c r="S74" s="41"/>
      <c r="T74" s="41"/>
      <c r="U74" s="41"/>
      <c r="V74" s="41"/>
      <c r="W74" s="102"/>
      <c r="X74" s="101"/>
    </row>
    <row r="75" spans="1:24" ht="18" customHeight="1" x14ac:dyDescent="0.2">
      <c r="A75" s="1"/>
      <c r="B75" s="6"/>
      <c r="C75" s="90" t="s">
        <v>50</v>
      </c>
      <c r="D75" s="88">
        <f t="shared" ref="D75:Q75" si="7">+D73+D74</f>
        <v>527574740.00999993</v>
      </c>
      <c r="E75" s="88">
        <f t="shared" si="7"/>
        <v>997231116.61000001</v>
      </c>
      <c r="F75" s="88">
        <f t="shared" si="7"/>
        <v>629115113.45000005</v>
      </c>
      <c r="G75" s="88">
        <f t="shared" si="7"/>
        <v>1972041130.8099999</v>
      </c>
      <c r="H75" s="88">
        <f t="shared" si="7"/>
        <v>2455674926.5</v>
      </c>
      <c r="I75" s="88">
        <f t="shared" si="7"/>
        <v>5170182757.6299992</v>
      </c>
      <c r="J75" s="88">
        <f t="shared" si="7"/>
        <v>4437737587.2399998</v>
      </c>
      <c r="K75" s="88">
        <f t="shared" si="7"/>
        <v>4752377714</v>
      </c>
      <c r="L75" s="88">
        <f t="shared" si="7"/>
        <v>4693692756.7299995</v>
      </c>
      <c r="M75" s="88">
        <f t="shared" si="7"/>
        <v>5618859759.1300001</v>
      </c>
      <c r="N75" s="88">
        <f t="shared" si="7"/>
        <v>7954152183.6400003</v>
      </c>
      <c r="O75" s="88">
        <f t="shared" si="7"/>
        <v>9806737124.4599991</v>
      </c>
      <c r="P75" s="88">
        <f t="shared" si="7"/>
        <v>8650835660.6700001</v>
      </c>
      <c r="Q75" s="88">
        <f t="shared" si="7"/>
        <v>6581875638.04</v>
      </c>
      <c r="R75" s="88">
        <f>+R73+R74</f>
        <v>7444021662.7600002</v>
      </c>
      <c r="S75" s="88">
        <f>+S73+S74</f>
        <v>4683499657.5799999</v>
      </c>
      <c r="T75" s="88">
        <f>+T73+T74</f>
        <v>3641911219.9799995</v>
      </c>
      <c r="U75" s="88">
        <f>+U73+U74</f>
        <v>4583024736.7700005</v>
      </c>
      <c r="V75" s="88">
        <f>+V73+V74</f>
        <v>869357242.99000001</v>
      </c>
      <c r="W75" s="103"/>
      <c r="X75" s="101"/>
    </row>
    <row r="76" spans="1:24" ht="18" customHeight="1" x14ac:dyDescent="0.2">
      <c r="A76" s="1"/>
      <c r="B76" s="6"/>
      <c r="C76" s="30"/>
      <c r="D76" s="33"/>
      <c r="E76" s="33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6"/>
      <c r="Q76" s="36"/>
      <c r="R76" s="31"/>
      <c r="S76" s="31"/>
      <c r="T76" s="31"/>
      <c r="U76" s="31"/>
      <c r="V76" s="31"/>
      <c r="W76" s="101"/>
      <c r="X76" s="101"/>
    </row>
    <row r="77" spans="1:24" ht="18" customHeight="1" x14ac:dyDescent="0.2">
      <c r="A77" s="1"/>
      <c r="B77" s="6"/>
      <c r="C77" s="67" t="s">
        <v>51</v>
      </c>
      <c r="D77" s="68">
        <v>3585717276.1300001</v>
      </c>
      <c r="E77" s="68">
        <v>3927463882.3800001</v>
      </c>
      <c r="F77" s="69">
        <v>4378307962.8399992</v>
      </c>
      <c r="G77" s="69">
        <v>4677314155.1700001</v>
      </c>
      <c r="H77" s="69">
        <v>5063774656.75</v>
      </c>
      <c r="I77" s="69">
        <v>5295162404.4399996</v>
      </c>
      <c r="J77" s="69">
        <v>5569650548</v>
      </c>
      <c r="K77" s="69">
        <v>5808549169</v>
      </c>
      <c r="L77" s="69">
        <v>6073403027.0799999</v>
      </c>
      <c r="M77" s="69">
        <v>6319728026</v>
      </c>
      <c r="N77" s="69">
        <v>6599248924.7799997</v>
      </c>
      <c r="O77" s="69">
        <v>7075489392.1199999</v>
      </c>
      <c r="P77" s="70">
        <v>7196967289.54</v>
      </c>
      <c r="Q77" s="70">
        <v>7335424166.1400003</v>
      </c>
      <c r="R77" s="70">
        <v>7587470035.46</v>
      </c>
      <c r="S77" s="70">
        <v>7778709630.3299999</v>
      </c>
      <c r="T77" s="70">
        <v>8023494378.0900002</v>
      </c>
      <c r="U77" s="70">
        <v>8290752490.4499998</v>
      </c>
      <c r="V77" s="70">
        <v>2048971502.71</v>
      </c>
      <c r="W77" s="101"/>
      <c r="X77" s="101"/>
    </row>
    <row r="78" spans="1:24" ht="18" customHeight="1" x14ac:dyDescent="0.2">
      <c r="A78" s="1"/>
      <c r="B78" s="6"/>
      <c r="C78" s="67" t="s">
        <v>52</v>
      </c>
      <c r="D78" s="68">
        <v>754006994.87</v>
      </c>
      <c r="E78" s="68">
        <v>840791013.68000019</v>
      </c>
      <c r="F78" s="69">
        <v>929785142.33000004</v>
      </c>
      <c r="G78" s="69">
        <v>974934714.72000003</v>
      </c>
      <c r="H78" s="69">
        <v>1020543288.7799999</v>
      </c>
      <c r="I78" s="69">
        <v>1082632990.8500001</v>
      </c>
      <c r="J78" s="69">
        <v>1160778331.9099998</v>
      </c>
      <c r="K78" s="69">
        <v>1320434051</v>
      </c>
      <c r="L78" s="69">
        <v>1481520978.8499999</v>
      </c>
      <c r="M78" s="69">
        <v>1524776111.47</v>
      </c>
      <c r="N78" s="69">
        <v>1676599947.02</v>
      </c>
      <c r="O78" s="69">
        <v>1845963666</v>
      </c>
      <c r="P78" s="70">
        <v>1963644760</v>
      </c>
      <c r="Q78" s="70">
        <v>2114506536.49</v>
      </c>
      <c r="R78" s="70">
        <v>2196284825</v>
      </c>
      <c r="S78" s="70">
        <v>2271382508.4200001</v>
      </c>
      <c r="T78" s="70">
        <v>2419048210.6599998</v>
      </c>
      <c r="U78" s="70">
        <v>2564311975.3600001</v>
      </c>
      <c r="V78" s="70">
        <v>652711695.44000006</v>
      </c>
      <c r="W78" s="101"/>
      <c r="X78" s="101"/>
    </row>
    <row r="79" spans="1:24" ht="18" customHeight="1" x14ac:dyDescent="0.2">
      <c r="A79" s="1"/>
      <c r="B79" s="6"/>
      <c r="C79" s="67" t="s">
        <v>53</v>
      </c>
      <c r="D79" s="68">
        <v>337628186</v>
      </c>
      <c r="E79" s="68">
        <v>382538977</v>
      </c>
      <c r="F79" s="69">
        <v>409524994</v>
      </c>
      <c r="G79" s="69">
        <v>457394402</v>
      </c>
      <c r="H79" s="69">
        <v>548160679</v>
      </c>
      <c r="I79" s="69">
        <v>569072586</v>
      </c>
      <c r="J79" s="69">
        <v>588259229</v>
      </c>
      <c r="K79" s="69">
        <v>662146022</v>
      </c>
      <c r="L79" s="69">
        <v>634680706</v>
      </c>
      <c r="M79" s="69">
        <v>679893654</v>
      </c>
      <c r="N79" s="69">
        <v>737860178</v>
      </c>
      <c r="O79" s="69">
        <v>746132797</v>
      </c>
      <c r="P79" s="70">
        <v>772502097</v>
      </c>
      <c r="Q79" s="70">
        <v>843961934</v>
      </c>
      <c r="R79" s="70">
        <v>890682858</v>
      </c>
      <c r="S79" s="70">
        <v>996426188</v>
      </c>
      <c r="T79" s="70">
        <v>966925052</v>
      </c>
      <c r="U79" s="70">
        <v>957307700</v>
      </c>
      <c r="V79" s="70">
        <v>306483438</v>
      </c>
      <c r="W79" s="101"/>
      <c r="X79" s="101"/>
    </row>
    <row r="80" spans="1:24" ht="18" customHeight="1" x14ac:dyDescent="0.2">
      <c r="A80" s="1"/>
      <c r="B80" s="6"/>
      <c r="C80" s="67" t="s">
        <v>54</v>
      </c>
      <c r="D80" s="68">
        <v>46564106</v>
      </c>
      <c r="E80" s="68">
        <v>52757993</v>
      </c>
      <c r="F80" s="69">
        <v>56479778</v>
      </c>
      <c r="G80" s="69">
        <v>63081704</v>
      </c>
      <c r="H80" s="69">
        <v>75599766</v>
      </c>
      <c r="I80" s="69">
        <v>78483839</v>
      </c>
      <c r="J80" s="69">
        <v>81129971</v>
      </c>
      <c r="K80" s="69">
        <v>91320094</v>
      </c>
      <c r="L80" s="69">
        <v>87532205</v>
      </c>
      <c r="M80" s="69">
        <v>93767764</v>
      </c>
      <c r="N80" s="69">
        <v>101776107</v>
      </c>
      <c r="O80" s="69">
        <v>102917184</v>
      </c>
      <c r="P80" s="70">
        <v>106554410</v>
      </c>
      <c r="Q80" s="70">
        <v>116411161</v>
      </c>
      <c r="R80" s="70">
        <v>122855572</v>
      </c>
      <c r="S80" s="70">
        <v>137441186</v>
      </c>
      <c r="T80" s="70">
        <v>133368273</v>
      </c>
      <c r="U80" s="70">
        <v>132041712</v>
      </c>
      <c r="V80" s="70">
        <v>42274530</v>
      </c>
      <c r="W80" s="101"/>
      <c r="X80" s="101"/>
    </row>
    <row r="81" spans="1:24" ht="18" customHeight="1" x14ac:dyDescent="0.2">
      <c r="A81" s="1"/>
      <c r="B81" s="6"/>
      <c r="C81" s="67" t="s">
        <v>55</v>
      </c>
      <c r="D81" s="68">
        <v>342195849</v>
      </c>
      <c r="E81" s="68">
        <v>382021874</v>
      </c>
      <c r="F81" s="69">
        <v>402530767</v>
      </c>
      <c r="G81" s="69">
        <v>478185066</v>
      </c>
      <c r="H81" s="69">
        <v>570736659</v>
      </c>
      <c r="I81" s="69">
        <v>591408323</v>
      </c>
      <c r="J81" s="69">
        <v>610655886</v>
      </c>
      <c r="K81" s="69">
        <v>689332836</v>
      </c>
      <c r="L81" s="69">
        <v>731366804</v>
      </c>
      <c r="M81" s="69">
        <v>781819373</v>
      </c>
      <c r="N81" s="69">
        <v>849132316</v>
      </c>
      <c r="O81" s="69">
        <v>856431028</v>
      </c>
      <c r="P81" s="70">
        <v>897709727</v>
      </c>
      <c r="Q81" s="70">
        <v>982395923</v>
      </c>
      <c r="R81" s="70">
        <v>1068176275</v>
      </c>
      <c r="S81" s="70">
        <v>1208893989</v>
      </c>
      <c r="T81" s="70">
        <v>1245708001</v>
      </c>
      <c r="U81" s="70">
        <v>1228083114</v>
      </c>
      <c r="V81" s="70">
        <v>342988154</v>
      </c>
      <c r="W81" s="101"/>
      <c r="X81" s="101"/>
    </row>
    <row r="82" spans="1:24" ht="18" customHeight="1" x14ac:dyDescent="0.2">
      <c r="A82" s="1"/>
      <c r="B82" s="6"/>
      <c r="C82" s="67" t="s">
        <v>56</v>
      </c>
      <c r="D82" s="68">
        <v>96676231</v>
      </c>
      <c r="E82" s="68">
        <v>97720571</v>
      </c>
      <c r="F82" s="69">
        <v>105308955</v>
      </c>
      <c r="G82" s="69">
        <v>106917967</v>
      </c>
      <c r="H82" s="69">
        <v>117467349</v>
      </c>
      <c r="I82" s="69">
        <v>119357891</v>
      </c>
      <c r="J82" s="69">
        <v>119505234.99380699</v>
      </c>
      <c r="K82" s="69">
        <v>122720111</v>
      </c>
      <c r="L82" s="69">
        <v>124092923</v>
      </c>
      <c r="M82" s="69">
        <v>127494958</v>
      </c>
      <c r="N82" s="69">
        <v>130065864</v>
      </c>
      <c r="O82" s="69">
        <v>130195691</v>
      </c>
      <c r="P82" s="71">
        <v>133190096</v>
      </c>
      <c r="Q82" s="70">
        <v>147929821</v>
      </c>
      <c r="R82" s="70">
        <v>153647423</v>
      </c>
      <c r="S82" s="70">
        <v>165805472</v>
      </c>
      <c r="T82" s="70">
        <v>177758199</v>
      </c>
      <c r="U82" s="70">
        <v>177398780</v>
      </c>
      <c r="V82" s="70">
        <v>47625240</v>
      </c>
      <c r="W82" s="101"/>
      <c r="X82" s="101"/>
    </row>
    <row r="83" spans="1:24" ht="18" customHeight="1" x14ac:dyDescent="0.2">
      <c r="A83" s="1"/>
      <c r="B83" s="6"/>
      <c r="C83" s="67" t="s">
        <v>57</v>
      </c>
      <c r="D83" s="68">
        <v>54261489</v>
      </c>
      <c r="E83" s="68">
        <v>57894691</v>
      </c>
      <c r="F83" s="69">
        <v>67000905</v>
      </c>
      <c r="G83" s="69">
        <v>73051513</v>
      </c>
      <c r="H83" s="69">
        <v>43065246.890000001</v>
      </c>
      <c r="I83" s="69">
        <v>147387058.40000001</v>
      </c>
      <c r="J83" s="69">
        <v>98937855</v>
      </c>
      <c r="K83" s="69">
        <v>103156319</v>
      </c>
      <c r="L83" s="69">
        <v>107891113</v>
      </c>
      <c r="M83" s="69">
        <v>119766374</v>
      </c>
      <c r="N83" s="69">
        <v>128607128</v>
      </c>
      <c r="O83" s="69">
        <v>125806864</v>
      </c>
      <c r="P83" s="70">
        <v>130910979</v>
      </c>
      <c r="Q83" s="70">
        <v>147102821</v>
      </c>
      <c r="R83" s="70">
        <v>160715136</v>
      </c>
      <c r="S83" s="70">
        <v>185677581</v>
      </c>
      <c r="T83" s="70">
        <v>187455024</v>
      </c>
      <c r="U83" s="70">
        <v>176767478</v>
      </c>
      <c r="V83" s="70">
        <v>49768401</v>
      </c>
      <c r="W83" s="101"/>
      <c r="X83" s="101"/>
    </row>
    <row r="84" spans="1:24" ht="18" customHeight="1" x14ac:dyDescent="0.2">
      <c r="A84" s="1"/>
      <c r="B84" s="6"/>
      <c r="C84" s="67" t="s">
        <v>58</v>
      </c>
      <c r="D84" s="68">
        <v>10220000</v>
      </c>
      <c r="E84" s="68">
        <v>15507100</v>
      </c>
      <c r="F84" s="69">
        <v>80327000</v>
      </c>
      <c r="G84" s="69">
        <v>19284000</v>
      </c>
      <c r="H84" s="69">
        <v>56539552.859999999</v>
      </c>
      <c r="I84" s="69">
        <v>121456491.14</v>
      </c>
      <c r="J84" s="69">
        <v>117706307</v>
      </c>
      <c r="K84" s="69">
        <v>115446209</v>
      </c>
      <c r="L84" s="69">
        <v>121993614</v>
      </c>
      <c r="M84" s="69">
        <v>137020907</v>
      </c>
      <c r="N84" s="69">
        <v>70098667</v>
      </c>
      <c r="O84" s="69">
        <v>118162817</v>
      </c>
      <c r="P84" s="70">
        <v>105275712</v>
      </c>
      <c r="Q84" s="70">
        <v>118815997</v>
      </c>
      <c r="R84" s="70">
        <v>163313364</v>
      </c>
      <c r="S84" s="70">
        <v>134321244</v>
      </c>
      <c r="T84" s="70">
        <v>155493112</v>
      </c>
      <c r="U84" s="70">
        <v>113514225</v>
      </c>
      <c r="V84" s="70">
        <v>8553756</v>
      </c>
      <c r="W84" s="101"/>
      <c r="X84" s="101"/>
    </row>
    <row r="85" spans="1:24" ht="18" customHeight="1" x14ac:dyDescent="0.2">
      <c r="A85" s="1"/>
      <c r="B85" s="6"/>
      <c r="C85" s="72" t="s">
        <v>75</v>
      </c>
      <c r="D85" s="68"/>
      <c r="E85" s="68"/>
      <c r="F85" s="69"/>
      <c r="G85" s="69"/>
      <c r="H85" s="69"/>
      <c r="I85" s="69"/>
      <c r="J85" s="69"/>
      <c r="K85" s="69"/>
      <c r="L85" s="69">
        <v>1994823</v>
      </c>
      <c r="M85" s="69">
        <v>4470337</v>
      </c>
      <c r="N85" s="69">
        <v>8262344</v>
      </c>
      <c r="O85" s="69">
        <v>8091385</v>
      </c>
      <c r="P85" s="70">
        <v>8496462</v>
      </c>
      <c r="Q85" s="70">
        <v>8888702</v>
      </c>
      <c r="R85" s="70">
        <v>9006492</v>
      </c>
      <c r="S85" s="70">
        <v>9914459</v>
      </c>
      <c r="T85" s="70">
        <v>10595092</v>
      </c>
      <c r="U85" s="70">
        <v>10462501</v>
      </c>
      <c r="V85" s="70">
        <v>2603319</v>
      </c>
      <c r="W85" s="101"/>
      <c r="X85" s="101"/>
    </row>
    <row r="86" spans="1:24" ht="18" customHeight="1" x14ac:dyDescent="0.2">
      <c r="A86" s="1"/>
      <c r="B86" s="6"/>
      <c r="C86" s="67" t="s">
        <v>59</v>
      </c>
      <c r="D86" s="68">
        <v>17233683.23</v>
      </c>
      <c r="E86" s="68">
        <v>20342362</v>
      </c>
      <c r="F86" s="69">
        <v>21159951</v>
      </c>
      <c r="G86" s="69">
        <v>21844026</v>
      </c>
      <c r="H86" s="69">
        <v>24229395</v>
      </c>
      <c r="I86" s="69">
        <v>26765933.02</v>
      </c>
      <c r="J86" s="69">
        <v>27579116.000000004</v>
      </c>
      <c r="K86" s="69">
        <v>29606346</v>
      </c>
      <c r="L86" s="69">
        <v>31954556</v>
      </c>
      <c r="M86" s="69">
        <v>31756858</v>
      </c>
      <c r="N86" s="69">
        <v>34584721.009999998</v>
      </c>
      <c r="O86" s="69">
        <v>36567044.560000002</v>
      </c>
      <c r="P86" s="70">
        <v>38851853.909999996</v>
      </c>
      <c r="Q86" s="70">
        <v>39988050.210000001</v>
      </c>
      <c r="R86" s="70">
        <v>41121216.439999998</v>
      </c>
      <c r="S86" s="70">
        <v>42371782.68</v>
      </c>
      <c r="T86" s="70">
        <v>44478262.770000003</v>
      </c>
      <c r="U86" s="70">
        <v>45738490.149999999</v>
      </c>
      <c r="V86" s="70">
        <v>12493995</v>
      </c>
      <c r="W86" s="101"/>
      <c r="X86" s="101"/>
    </row>
    <row r="87" spans="1:24" ht="18" customHeight="1" x14ac:dyDescent="0.2">
      <c r="A87" s="1"/>
      <c r="B87" s="6"/>
      <c r="C87" s="67" t="s">
        <v>60</v>
      </c>
      <c r="D87" s="68">
        <v>36980008</v>
      </c>
      <c r="E87" s="68">
        <v>38980114</v>
      </c>
      <c r="F87" s="69">
        <v>41093349.600000001</v>
      </c>
      <c r="G87" s="69">
        <v>42961426.75</v>
      </c>
      <c r="H87" s="69">
        <v>45441714</v>
      </c>
      <c r="I87" s="69">
        <v>47666471.200000003</v>
      </c>
      <c r="J87" s="69">
        <v>48052830</v>
      </c>
      <c r="K87" s="69">
        <v>51156763</v>
      </c>
      <c r="L87" s="69">
        <v>52753159</v>
      </c>
      <c r="M87" s="69">
        <v>53770751</v>
      </c>
      <c r="N87" s="69">
        <v>55337791</v>
      </c>
      <c r="O87" s="69">
        <v>56696021.649999999</v>
      </c>
      <c r="P87" s="70">
        <v>59499723.409999996</v>
      </c>
      <c r="Q87" s="70">
        <v>60820082.219999999</v>
      </c>
      <c r="R87" s="70">
        <v>63177649.82</v>
      </c>
      <c r="S87" s="70">
        <v>65091810.57</v>
      </c>
      <c r="T87" s="70">
        <v>71981636.620000005</v>
      </c>
      <c r="U87" s="70">
        <v>74894025.379999995</v>
      </c>
      <c r="V87" s="70">
        <v>22546315</v>
      </c>
      <c r="W87" s="101"/>
      <c r="X87" s="101"/>
    </row>
    <row r="88" spans="1:24" ht="18" customHeight="1" x14ac:dyDescent="0.2">
      <c r="A88" s="2">
        <v>2</v>
      </c>
      <c r="B88" s="5"/>
      <c r="C88" s="73" t="s">
        <v>61</v>
      </c>
      <c r="D88" s="68">
        <v>85803799</v>
      </c>
      <c r="E88" s="68">
        <v>120794306</v>
      </c>
      <c r="F88" s="69">
        <v>120794306</v>
      </c>
      <c r="G88" s="69">
        <v>120794306</v>
      </c>
      <c r="H88" s="69">
        <v>141700873</v>
      </c>
      <c r="I88" s="69">
        <v>163352766</v>
      </c>
      <c r="J88" s="69">
        <v>163352766</v>
      </c>
      <c r="K88" s="69">
        <v>168664742</v>
      </c>
      <c r="L88" s="69">
        <v>173795616</v>
      </c>
      <c r="M88" s="69">
        <v>179624214</v>
      </c>
      <c r="N88" s="69">
        <v>186827308</v>
      </c>
      <c r="O88" s="69">
        <v>195903401</v>
      </c>
      <c r="P88" s="70">
        <v>188987448</v>
      </c>
      <c r="Q88" s="70">
        <v>184284945</v>
      </c>
      <c r="R88" s="70">
        <v>175070698</v>
      </c>
      <c r="S88" s="70">
        <v>188083597</v>
      </c>
      <c r="T88" s="70">
        <v>203083597</v>
      </c>
      <c r="U88" s="70">
        <v>209948463</v>
      </c>
      <c r="V88" s="70">
        <v>65377950</v>
      </c>
      <c r="W88" s="101"/>
      <c r="X88" s="101"/>
    </row>
    <row r="89" spans="1:24" ht="18" customHeight="1" x14ac:dyDescent="0.2">
      <c r="C89" s="73" t="s">
        <v>62</v>
      </c>
      <c r="D89" s="68"/>
      <c r="E89" s="68"/>
      <c r="F89" s="69"/>
      <c r="G89" s="69">
        <v>330168740</v>
      </c>
      <c r="H89" s="69">
        <v>375942346</v>
      </c>
      <c r="I89" s="69">
        <v>387765768</v>
      </c>
      <c r="J89" s="69">
        <v>403924351</v>
      </c>
      <c r="K89" s="69">
        <v>442928446</v>
      </c>
      <c r="L89" s="69">
        <v>462723453</v>
      </c>
      <c r="M89" s="69">
        <v>484313594</v>
      </c>
      <c r="N89" s="69">
        <v>528489028</v>
      </c>
      <c r="O89" s="69">
        <v>531580058</v>
      </c>
      <c r="P89" s="70">
        <v>557213091</v>
      </c>
      <c r="Q89" s="70">
        <v>601310229</v>
      </c>
      <c r="R89" s="70">
        <v>644286291</v>
      </c>
      <c r="S89" s="70">
        <v>728400814</v>
      </c>
      <c r="T89" s="70">
        <v>765927744</v>
      </c>
      <c r="U89" s="70">
        <v>738282560</v>
      </c>
      <c r="V89" s="70">
        <v>203134497</v>
      </c>
      <c r="W89" s="101"/>
      <c r="X89" s="101"/>
    </row>
    <row r="90" spans="1:24" ht="18" customHeight="1" x14ac:dyDescent="0.2">
      <c r="C90" s="91" t="s">
        <v>63</v>
      </c>
      <c r="D90" s="88">
        <f t="shared" ref="D90:Q90" si="8">SUM(D77:D89)</f>
        <v>5367287622.2299995</v>
      </c>
      <c r="E90" s="88">
        <f t="shared" si="8"/>
        <v>5936812884.0600004</v>
      </c>
      <c r="F90" s="88">
        <f t="shared" si="8"/>
        <v>6612313110.7699995</v>
      </c>
      <c r="G90" s="88">
        <f t="shared" si="8"/>
        <v>7365932020.6400003</v>
      </c>
      <c r="H90" s="88">
        <f t="shared" si="8"/>
        <v>8083201526.2799997</v>
      </c>
      <c r="I90" s="88">
        <f t="shared" si="8"/>
        <v>8630512522.0499992</v>
      </c>
      <c r="J90" s="88">
        <f t="shared" si="8"/>
        <v>8989532425.9038067</v>
      </c>
      <c r="K90" s="88">
        <f t="shared" si="8"/>
        <v>9605461108</v>
      </c>
      <c r="L90" s="88">
        <f t="shared" si="8"/>
        <v>10085702977.93</v>
      </c>
      <c r="M90" s="88">
        <f t="shared" si="8"/>
        <v>10538202921.470001</v>
      </c>
      <c r="N90" s="88">
        <f t="shared" si="8"/>
        <v>11106890323.809999</v>
      </c>
      <c r="O90" s="88">
        <f t="shared" si="8"/>
        <v>11829937349.329998</v>
      </c>
      <c r="P90" s="88">
        <f t="shared" si="8"/>
        <v>12159803648.860001</v>
      </c>
      <c r="Q90" s="88">
        <f t="shared" si="8"/>
        <v>12701840368.059999</v>
      </c>
      <c r="R90" s="88">
        <f>SUM(R77:R89)</f>
        <v>13275807835.719999</v>
      </c>
      <c r="S90" s="88">
        <f>SUM(S77:S89)</f>
        <v>13912520262</v>
      </c>
      <c r="T90" s="88">
        <f>SUM(T77:T89)</f>
        <v>14405316582.140001</v>
      </c>
      <c r="U90" s="88">
        <f>SUM(U77:U89)</f>
        <v>14719503514.339998</v>
      </c>
      <c r="V90" s="88">
        <f>SUM(V77:V89)</f>
        <v>3805532793.1500001</v>
      </c>
      <c r="W90" s="103"/>
      <c r="X90" s="101"/>
    </row>
    <row r="91" spans="1:24" ht="18" customHeight="1" x14ac:dyDescent="0.2">
      <c r="C91" s="31"/>
      <c r="D91" s="33"/>
      <c r="E91" s="33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6"/>
      <c r="Q91" s="36"/>
      <c r="R91" s="31"/>
      <c r="S91" s="31"/>
      <c r="T91" s="31"/>
      <c r="U91" s="31"/>
      <c r="V91" s="31"/>
      <c r="W91" s="101"/>
      <c r="X91" s="101"/>
    </row>
    <row r="92" spans="1:24" ht="18" customHeight="1" x14ac:dyDescent="0.2">
      <c r="C92" s="75" t="s">
        <v>64</v>
      </c>
      <c r="D92" s="76">
        <v>416423901</v>
      </c>
      <c r="E92" s="77">
        <v>475322416</v>
      </c>
      <c r="F92" s="78">
        <v>716014962</v>
      </c>
      <c r="G92" s="78"/>
      <c r="H92" s="78"/>
      <c r="I92" s="78"/>
      <c r="J92" s="78"/>
      <c r="K92" s="78"/>
      <c r="L92" s="78"/>
      <c r="M92" s="78"/>
      <c r="N92" s="78"/>
      <c r="O92" s="78"/>
      <c r="P92" s="79"/>
      <c r="Q92" s="79"/>
      <c r="R92" s="75"/>
      <c r="S92" s="75"/>
      <c r="T92" s="75"/>
      <c r="U92" s="75"/>
      <c r="V92" s="75"/>
      <c r="W92" s="103"/>
      <c r="X92" s="101"/>
    </row>
    <row r="93" spans="1:24" ht="18" customHeight="1" x14ac:dyDescent="0.2">
      <c r="C93" s="91" t="s">
        <v>65</v>
      </c>
      <c r="D93" s="85">
        <v>416423901</v>
      </c>
      <c r="E93" s="87">
        <v>475322416</v>
      </c>
      <c r="F93" s="87">
        <v>716014962</v>
      </c>
      <c r="G93" s="87">
        <v>0</v>
      </c>
      <c r="H93" s="87">
        <v>0</v>
      </c>
      <c r="I93" s="87">
        <v>0</v>
      </c>
      <c r="J93" s="87">
        <v>0</v>
      </c>
      <c r="K93" s="87"/>
      <c r="L93" s="87"/>
      <c r="M93" s="87"/>
      <c r="N93" s="87"/>
      <c r="O93" s="87"/>
      <c r="P93" s="92"/>
      <c r="Q93" s="92"/>
      <c r="R93" s="93"/>
      <c r="S93" s="93"/>
      <c r="T93" s="93"/>
      <c r="U93" s="93"/>
      <c r="V93" s="93"/>
      <c r="W93" s="101"/>
      <c r="X93" s="101"/>
    </row>
    <row r="94" spans="1:24" ht="18" customHeight="1" x14ac:dyDescent="0.2">
      <c r="C94" s="31"/>
      <c r="D94" s="32"/>
      <c r="E94" s="33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6"/>
      <c r="Q94" s="36"/>
      <c r="R94" s="31"/>
      <c r="S94" s="31"/>
      <c r="T94" s="31"/>
      <c r="U94" s="31"/>
      <c r="V94" s="31"/>
      <c r="W94" s="103"/>
      <c r="X94" s="101"/>
    </row>
    <row r="95" spans="1:24" ht="18" customHeight="1" x14ac:dyDescent="0.2">
      <c r="C95" s="41" t="s">
        <v>66</v>
      </c>
      <c r="D95" s="37">
        <v>827289485.63999999</v>
      </c>
      <c r="E95" s="38">
        <v>149856867.25</v>
      </c>
      <c r="F95" s="39">
        <v>0</v>
      </c>
      <c r="G95" s="39">
        <v>0</v>
      </c>
      <c r="H95" s="39">
        <v>0</v>
      </c>
      <c r="I95" s="39">
        <v>0</v>
      </c>
      <c r="J95" s="39">
        <v>0</v>
      </c>
      <c r="K95" s="39">
        <v>600000000</v>
      </c>
      <c r="L95" s="39"/>
      <c r="M95" s="39">
        <v>1184162979</v>
      </c>
      <c r="N95" s="39">
        <v>967641700</v>
      </c>
      <c r="O95" s="39">
        <v>1802294323.6099999</v>
      </c>
      <c r="P95" s="40"/>
      <c r="Q95" s="80">
        <v>5291542424.4899998</v>
      </c>
      <c r="R95" s="39">
        <v>0</v>
      </c>
      <c r="S95" s="39">
        <v>2283000000</v>
      </c>
      <c r="T95" s="39">
        <v>4224000000</v>
      </c>
      <c r="U95" s="39">
        <v>3578300000</v>
      </c>
      <c r="V95" s="39">
        <v>0</v>
      </c>
      <c r="W95" s="103"/>
      <c r="X95" s="101"/>
    </row>
    <row r="96" spans="1:24" ht="18" customHeight="1" x14ac:dyDescent="0.2">
      <c r="C96" s="91" t="s">
        <v>67</v>
      </c>
      <c r="D96" s="88">
        <f t="shared" ref="D96:O96" si="9">+D95</f>
        <v>827289485.63999999</v>
      </c>
      <c r="E96" s="88">
        <f t="shared" si="9"/>
        <v>149856867.25</v>
      </c>
      <c r="F96" s="87">
        <v>0</v>
      </c>
      <c r="G96" s="87">
        <v>0</v>
      </c>
      <c r="H96" s="87">
        <v>0</v>
      </c>
      <c r="I96" s="87">
        <v>0</v>
      </c>
      <c r="J96" s="87">
        <v>0</v>
      </c>
      <c r="K96" s="88">
        <f t="shared" si="9"/>
        <v>600000000</v>
      </c>
      <c r="L96" s="87">
        <v>0</v>
      </c>
      <c r="M96" s="88">
        <f t="shared" si="9"/>
        <v>1184162979</v>
      </c>
      <c r="N96" s="88">
        <f t="shared" si="9"/>
        <v>967641700</v>
      </c>
      <c r="O96" s="88">
        <f t="shared" si="9"/>
        <v>1802294323.6099999</v>
      </c>
      <c r="P96" s="87">
        <v>0</v>
      </c>
      <c r="Q96" s="88">
        <f>+Q95</f>
        <v>5291542424.4899998</v>
      </c>
      <c r="R96" s="99">
        <v>0</v>
      </c>
      <c r="S96" s="88">
        <f>+S95</f>
        <v>2283000000</v>
      </c>
      <c r="T96" s="88">
        <f>+T95</f>
        <v>4224000000</v>
      </c>
      <c r="U96" s="88">
        <f>+U95</f>
        <v>3578300000</v>
      </c>
      <c r="V96" s="88">
        <f>+V95</f>
        <v>0</v>
      </c>
      <c r="W96" s="101"/>
      <c r="X96" s="101"/>
    </row>
    <row r="97" spans="3:24" ht="13.5" thickBot="1" x14ac:dyDescent="0.25">
      <c r="C97" s="31"/>
      <c r="D97" s="34"/>
      <c r="E97" s="33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6"/>
      <c r="Q97" s="36"/>
      <c r="R97" s="31"/>
      <c r="S97" s="31"/>
      <c r="T97" s="31"/>
      <c r="U97" s="31"/>
      <c r="V97" s="31"/>
      <c r="W97" s="101"/>
      <c r="X97" s="101"/>
    </row>
    <row r="98" spans="3:24" ht="29.25" customHeight="1" thickBot="1" x14ac:dyDescent="0.3">
      <c r="C98" s="82" t="s">
        <v>68</v>
      </c>
      <c r="D98" s="83">
        <f>+D48+D71+D75+D90+D96+D93</f>
        <v>10936535972</v>
      </c>
      <c r="E98" s="83">
        <f>+E48+E71+E75+E90+E96+E93</f>
        <v>11705771133.5</v>
      </c>
      <c r="F98" s="83">
        <f>+F48+F71+F75+F90+F96+F93</f>
        <v>13186062129.74</v>
      </c>
      <c r="G98" s="83">
        <f t="shared" ref="G98:Q98" si="10">+G48+G71+G75+G90+G96</f>
        <v>14557643259.040001</v>
      </c>
      <c r="H98" s="83">
        <f>+H48+H71+H75+H90+H96+H50</f>
        <v>17558079305.259998</v>
      </c>
      <c r="I98" s="83">
        <f t="shared" si="10"/>
        <v>19861643156.649998</v>
      </c>
      <c r="J98" s="83">
        <f t="shared" si="10"/>
        <v>20196348386.703804</v>
      </c>
      <c r="K98" s="83">
        <f t="shared" si="10"/>
        <v>22398797870</v>
      </c>
      <c r="L98" s="83">
        <f t="shared" si="10"/>
        <v>22899907064.57</v>
      </c>
      <c r="M98" s="83">
        <f t="shared" si="10"/>
        <v>26207301490.100002</v>
      </c>
      <c r="N98" s="83">
        <f t="shared" si="10"/>
        <v>29713311562.32</v>
      </c>
      <c r="O98" s="83">
        <f t="shared" si="10"/>
        <v>33969290888.789997</v>
      </c>
      <c r="P98" s="83">
        <f t="shared" si="10"/>
        <v>32438242063.489998</v>
      </c>
      <c r="Q98" s="83">
        <f t="shared" si="10"/>
        <v>38542168345.239998</v>
      </c>
      <c r="R98" s="83">
        <f>+R48+R71+R75+R90+R96</f>
        <v>34891964066.230003</v>
      </c>
      <c r="S98" s="83">
        <f>+S48+S71+S75+S90+S96</f>
        <v>35726642010.839996</v>
      </c>
      <c r="T98" s="83">
        <f>+T48+T71+T75+T90+T96</f>
        <v>37423859875.43</v>
      </c>
      <c r="U98" s="83">
        <f>+U48+U71+U75+U90+U96</f>
        <v>38963075356.189995</v>
      </c>
      <c r="V98" s="83">
        <f>+V48+V71+V75+V90+V96</f>
        <v>10117682035.077879</v>
      </c>
      <c r="W98" s="103"/>
      <c r="X98" s="101"/>
    </row>
    <row r="99" spans="3:24" ht="15" x14ac:dyDescent="0.2">
      <c r="C99" s="3"/>
      <c r="D99" s="7"/>
      <c r="E99" s="3"/>
      <c r="F99" s="3"/>
      <c r="M99" s="13"/>
      <c r="S99" s="111"/>
      <c r="T99" s="111"/>
      <c r="U99" s="111"/>
      <c r="V99" s="111"/>
      <c r="W99" s="101"/>
      <c r="X99" s="101"/>
    </row>
    <row r="100" spans="3:24" ht="15" x14ac:dyDescent="0.2">
      <c r="C100" s="3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T100" s="100"/>
      <c r="U100" s="100"/>
      <c r="V100" s="100"/>
      <c r="W100" s="103"/>
      <c r="X100" s="101"/>
    </row>
    <row r="101" spans="3:24" x14ac:dyDescent="0.2">
      <c r="T101" s="100"/>
      <c r="U101" s="100"/>
      <c r="V101" s="100"/>
      <c r="W101" s="103"/>
      <c r="X101" s="101"/>
    </row>
    <row r="102" spans="3:24" x14ac:dyDescent="0.2">
      <c r="W102" s="101"/>
      <c r="X102" s="101"/>
    </row>
    <row r="103" spans="3:24" x14ac:dyDescent="0.2"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0"/>
      <c r="W103" s="101"/>
      <c r="X103" s="101"/>
    </row>
    <row r="104" spans="3:24" x14ac:dyDescent="0.2">
      <c r="D104" s="100"/>
      <c r="E104" s="100"/>
      <c r="F104" s="100"/>
      <c r="G104" s="100"/>
      <c r="H104" s="100"/>
      <c r="I104" s="100"/>
      <c r="J104" s="100"/>
      <c r="K104" s="100"/>
      <c r="L104" s="100"/>
      <c r="M104" s="100"/>
      <c r="N104" s="100"/>
      <c r="O104" s="100"/>
      <c r="P104" s="100"/>
      <c r="Q104" s="100"/>
      <c r="R104" s="100"/>
      <c r="W104" s="101"/>
      <c r="X104" s="101"/>
    </row>
    <row r="105" spans="3:24" x14ac:dyDescent="0.2">
      <c r="W105" s="101"/>
      <c r="X105" s="101"/>
    </row>
    <row r="106" spans="3:24" x14ac:dyDescent="0.2">
      <c r="W106" s="101"/>
      <c r="X106" s="101"/>
    </row>
    <row r="107" spans="3:24" x14ac:dyDescent="0.2">
      <c r="W107" s="101"/>
      <c r="X107" s="101"/>
    </row>
  </sheetData>
  <mergeCells count="1">
    <mergeCell ref="D8:V8"/>
  </mergeCells>
  <phoneticPr fontId="0" type="noConversion"/>
  <pageMargins left="0.19685039370078741" right="0.19685039370078741" top="0.19685039370078741" bottom="0.19685039370078741" header="0.15748031496062992" footer="0"/>
  <pageSetup scale="3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Ingresos Totales</vt:lpstr>
      <vt:lpstr>'Ingresos Totales'!Área_de_impresión</vt:lpstr>
      <vt:lpstr>'Ingresos Totales'!Títulos_a_imprimir</vt:lpstr>
    </vt:vector>
  </TitlesOfParts>
  <Company>Gobierno del Estado de Durango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Francisca_Arreola</dc:creator>
  <cp:lastModifiedBy>Verónica Renteria G.</cp:lastModifiedBy>
  <cp:lastPrinted>2021-03-16T20:45:13Z</cp:lastPrinted>
  <dcterms:created xsi:type="dcterms:W3CDTF">2008-03-05T16:41:32Z</dcterms:created>
  <dcterms:modified xsi:type="dcterms:W3CDTF">2022-04-20T16:05:01Z</dcterms:modified>
</cp:coreProperties>
</file>