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0730" windowHeight="11160"/>
  </bookViews>
  <sheets>
    <sheet name="FPIBM" sheetId="1" r:id="rId1"/>
  </sheets>
  <definedNames>
    <definedName name="_xlnm.Print_Titles" localSheetId="0">FPIBM!$3:$19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3" i="1" l="1"/>
  <c r="G153" i="1" s="1"/>
  <c r="G95" i="1"/>
  <c r="G102" i="1" l="1"/>
  <c r="G103" i="1"/>
  <c r="G107" i="1"/>
  <c r="G111" i="1"/>
  <c r="F110" i="1"/>
  <c r="G110" i="1" s="1"/>
  <c r="F109" i="1"/>
  <c r="G109" i="1" s="1"/>
  <c r="F108" i="1"/>
  <c r="G108" i="1" s="1"/>
  <c r="F106" i="1"/>
  <c r="G106" i="1" s="1"/>
  <c r="F105" i="1"/>
  <c r="G105" i="1" s="1"/>
  <c r="F104" i="1"/>
  <c r="G104" i="1" s="1"/>
  <c r="F190" i="1"/>
  <c r="G217" i="1"/>
  <c r="F218" i="1"/>
  <c r="G218" i="1" s="1"/>
  <c r="G187" i="1"/>
  <c r="G177" i="1"/>
  <c r="G178" i="1"/>
  <c r="G180" i="1"/>
  <c r="G181" i="1"/>
  <c r="F182" i="1"/>
  <c r="G182" i="1" s="1"/>
  <c r="F179" i="1"/>
  <c r="G179" i="1" s="1"/>
  <c r="G214" i="1"/>
  <c r="F215" i="1"/>
  <c r="G199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F101" i="1"/>
  <c r="G101" i="1" s="1"/>
  <c r="F100" i="1"/>
  <c r="G100" i="1" s="1"/>
  <c r="F99" i="1"/>
  <c r="G99" i="1" s="1"/>
  <c r="F98" i="1"/>
  <c r="G98" i="1" s="1"/>
  <c r="F97" i="1"/>
  <c r="G97" i="1" s="1"/>
  <c r="F96" i="1"/>
  <c r="G96" i="1" s="1"/>
  <c r="G142" i="1"/>
  <c r="G143" i="1"/>
  <c r="G145" i="1"/>
  <c r="G148" i="1"/>
  <c r="G151" i="1"/>
  <c r="G152" i="1"/>
  <c r="F156" i="1"/>
  <c r="G156" i="1" s="1"/>
  <c r="F155" i="1"/>
  <c r="G155" i="1" s="1"/>
  <c r="F154" i="1"/>
  <c r="G154" i="1" s="1"/>
  <c r="F150" i="1"/>
  <c r="G150" i="1" s="1"/>
  <c r="F149" i="1"/>
  <c r="G149" i="1" s="1"/>
  <c r="F147" i="1"/>
  <c r="G147" i="1" s="1"/>
  <c r="F146" i="1"/>
  <c r="G146" i="1" s="1"/>
  <c r="F144" i="1"/>
  <c r="G144" i="1" s="1"/>
  <c r="F167" i="1"/>
  <c r="G167" i="1" s="1"/>
  <c r="G168" i="1"/>
  <c r="G169" i="1"/>
  <c r="G239" i="1" l="1"/>
  <c r="G186" i="1"/>
  <c r="G176" i="1"/>
  <c r="G166" i="1"/>
  <c r="G141" i="1"/>
  <c r="G140" i="1"/>
  <c r="G139" i="1"/>
  <c r="G138" i="1"/>
  <c r="G137" i="1"/>
  <c r="G74" i="1"/>
  <c r="G73" i="1"/>
  <c r="G248" i="1" l="1"/>
  <c r="G247" i="1"/>
  <c r="G249" i="1"/>
  <c r="G175" i="1"/>
  <c r="G67" i="1"/>
  <c r="G68" i="1"/>
  <c r="G69" i="1"/>
  <c r="G70" i="1"/>
  <c r="G71" i="1"/>
  <c r="G72" i="1"/>
  <c r="G66" i="1"/>
  <c r="G132" i="1"/>
  <c r="G133" i="1"/>
  <c r="G134" i="1"/>
  <c r="G135" i="1"/>
  <c r="G136" i="1"/>
  <c r="G165" i="1"/>
  <c r="F114" i="1" l="1"/>
  <c r="G114" i="1" s="1"/>
  <c r="G35" i="1"/>
  <c r="G131" i="1"/>
  <c r="G171" i="1"/>
  <c r="F216" i="1"/>
  <c r="G216" i="1" s="1"/>
  <c r="G195" i="1"/>
  <c r="G196" i="1"/>
  <c r="G197" i="1"/>
  <c r="G198" i="1"/>
  <c r="G172" i="1"/>
  <c r="G173" i="1"/>
  <c r="G174" i="1"/>
  <c r="G161" i="1"/>
  <c r="G162" i="1"/>
  <c r="G164" i="1"/>
  <c r="F163" i="1"/>
  <c r="G163" i="1" s="1"/>
  <c r="G122" i="1"/>
  <c r="G123" i="1"/>
  <c r="G124" i="1"/>
  <c r="G125" i="1"/>
  <c r="G126" i="1"/>
  <c r="G127" i="1"/>
  <c r="G128" i="1"/>
  <c r="G129" i="1"/>
  <c r="G130" i="1"/>
  <c r="G59" i="1"/>
  <c r="G60" i="1"/>
  <c r="G61" i="1"/>
  <c r="G62" i="1"/>
  <c r="G58" i="1"/>
  <c r="G29" i="1" l="1"/>
  <c r="F54" i="1" l="1"/>
  <c r="G54" i="1" s="1"/>
  <c r="F213" i="1"/>
  <c r="G213" i="1" s="1"/>
  <c r="G215" i="1"/>
  <c r="F246" i="1"/>
  <c r="G246" i="1" s="1"/>
  <c r="F245" i="1"/>
  <c r="F160" i="1"/>
  <c r="G160" i="1" s="1"/>
  <c r="F159" i="1"/>
  <c r="G159" i="1" s="1"/>
  <c r="F158" i="1"/>
  <c r="G158" i="1" s="1"/>
  <c r="F44" i="1"/>
  <c r="F121" i="1"/>
  <c r="G121" i="1" s="1"/>
  <c r="F120" i="1"/>
  <c r="G120" i="1" s="1"/>
  <c r="F119" i="1"/>
  <c r="G119" i="1" s="1"/>
  <c r="F118" i="1"/>
  <c r="G118" i="1" s="1"/>
  <c r="F117" i="1"/>
  <c r="G117" i="1" s="1"/>
  <c r="F116" i="1"/>
  <c r="G116" i="1" s="1"/>
  <c r="F115" i="1"/>
  <c r="G115" i="1" s="1"/>
  <c r="F57" i="1"/>
  <c r="G57" i="1" s="1"/>
  <c r="F56" i="1"/>
  <c r="G56" i="1" s="1"/>
  <c r="F55" i="1"/>
  <c r="G55" i="1" s="1"/>
  <c r="F53" i="1"/>
  <c r="G53" i="1" s="1"/>
  <c r="F52" i="1"/>
  <c r="G52" i="1" s="1"/>
  <c r="F51" i="1"/>
  <c r="G51" i="1" s="1"/>
  <c r="F50" i="1"/>
  <c r="G50" i="1" s="1"/>
  <c r="F49" i="1"/>
  <c r="G49" i="1" s="1"/>
  <c r="F48" i="1"/>
  <c r="G48" i="1" s="1"/>
  <c r="F47" i="1"/>
  <c r="G47" i="1" s="1"/>
  <c r="F46" i="1"/>
  <c r="G46" i="1" s="1"/>
  <c r="F45" i="1"/>
  <c r="G45" i="1" s="1"/>
  <c r="G44" i="1"/>
  <c r="G43" i="1" l="1"/>
  <c r="G42" i="1"/>
  <c r="G41" i="1"/>
  <c r="G40" i="1"/>
  <c r="G39" i="1"/>
  <c r="G38" i="1"/>
  <c r="G37" i="1"/>
  <c r="G36" i="1"/>
  <c r="G34" i="1"/>
  <c r="G33" i="1"/>
  <c r="G32" i="1"/>
  <c r="G31" i="1"/>
  <c r="G30" i="1"/>
  <c r="G28" i="1"/>
  <c r="G27" i="1"/>
  <c r="G26" i="1"/>
  <c r="G25" i="1"/>
  <c r="G113" i="1"/>
  <c r="G238" i="1"/>
  <c r="G23" i="1" l="1"/>
  <c r="G24" i="1"/>
  <c r="G63" i="1"/>
  <c r="G64" i="1"/>
  <c r="G65" i="1"/>
  <c r="G194" i="1"/>
  <c r="G252" i="1" l="1"/>
  <c r="G251" i="1"/>
  <c r="G245" i="1"/>
  <c r="G244" i="1"/>
  <c r="G243" i="1"/>
  <c r="G242" i="1"/>
  <c r="G241" i="1"/>
  <c r="G240" i="1"/>
  <c r="G237" i="1"/>
  <c r="G235" i="1"/>
  <c r="G234" i="1"/>
  <c r="G233" i="1"/>
  <c r="G232" i="1"/>
  <c r="G230" i="1"/>
  <c r="G229" i="1"/>
  <c r="G228" i="1"/>
  <c r="G227" i="1"/>
  <c r="G226" i="1"/>
  <c r="G225" i="1"/>
  <c r="G224" i="1"/>
  <c r="G223" i="1"/>
  <c r="G222" i="1"/>
  <c r="G220" i="1"/>
  <c r="G219" i="1"/>
  <c r="G212" i="1"/>
  <c r="G211" i="1"/>
  <c r="G210" i="1"/>
  <c r="G209" i="1"/>
  <c r="G208" i="1"/>
  <c r="G206" i="1"/>
  <c r="G205" i="1" s="1"/>
  <c r="G204" i="1"/>
  <c r="G203" i="1"/>
  <c r="G202" i="1"/>
  <c r="G201" i="1"/>
  <c r="G200" i="1"/>
  <c r="G193" i="1"/>
  <c r="G192" i="1" s="1"/>
  <c r="G190" i="1"/>
  <c r="G189" i="1"/>
  <c r="G185" i="1"/>
  <c r="G184" i="1"/>
  <c r="G157" i="1"/>
  <c r="G112" i="1"/>
  <c r="G22" i="1"/>
  <c r="G21" i="1" l="1"/>
  <c r="G207" i="1"/>
  <c r="G170" i="1"/>
  <c r="G236" i="1"/>
  <c r="G188" i="1"/>
  <c r="G221" i="1"/>
  <c r="G231" i="1"/>
  <c r="G20" i="1" l="1"/>
</calcChain>
</file>

<file path=xl/sharedStrings.xml><?xml version="1.0" encoding="utf-8"?>
<sst xmlns="http://schemas.openxmlformats.org/spreadsheetml/2006/main" count="611" uniqueCount="320">
  <si>
    <t>5100 MOBILIARIO Y EQUIPO DE ADMINISTRACION</t>
  </si>
  <si>
    <t>511 Muebles de oficina y estantería</t>
  </si>
  <si>
    <t>512 Muebles, excepto de oficina y estantería</t>
  </si>
  <si>
    <t>513 Bienes artísticos, culturales y científicos</t>
  </si>
  <si>
    <t>514 Objetos de valor</t>
  </si>
  <si>
    <t>515 Equipo de cómputo y de tecnologías de la información</t>
  </si>
  <si>
    <t>519 Otros mobiliarios y equipos de administración</t>
  </si>
  <si>
    <t>5200 MOBILIARIO Y EQUIPO EDUCACIONAL Y RECREATIVO</t>
  </si>
  <si>
    <t>521 Equipos y aparatos audiovisuales</t>
  </si>
  <si>
    <t>522 Aparatos deportivos</t>
  </si>
  <si>
    <t>523 Cámaras fotográficas y de video</t>
  </si>
  <si>
    <t>5300 EQUIPO E INSTRUMENTAL MEDICO Y DE LABORATORIO</t>
  </si>
  <si>
    <t>531 Equipo médico y de laboratorio</t>
  </si>
  <si>
    <t>532 Instrumental médico y de laboratorio</t>
  </si>
  <si>
    <t>5400 VEHICULOS Y EQUIPO DE TRANSPORTE</t>
  </si>
  <si>
    <t>541 Vehículos y equipo terrestre</t>
  </si>
  <si>
    <t>542 Carrocerías y remolques</t>
  </si>
  <si>
    <t>543 Equipo aeroespacial</t>
  </si>
  <si>
    <t>544 Equipo ferroviario</t>
  </si>
  <si>
    <t>545 Embarcaciones</t>
  </si>
  <si>
    <t>549 Otros equipos de transporte</t>
  </si>
  <si>
    <t>5500 EQUIPO DE DEFENSA Y SEGURIDAD</t>
  </si>
  <si>
    <t>551 Equipo de defensa y seguridad</t>
  </si>
  <si>
    <t>5600 MAQUINARIA, OTROS EQUIPOS Y HERRAMIENTAS</t>
  </si>
  <si>
    <t>561 Maquinaria y equipo agropecuario</t>
  </si>
  <si>
    <t>562 Maquinaria y equipo industrial</t>
  </si>
  <si>
    <t>563 Maquinaria y equipo de construcción</t>
  </si>
  <si>
    <t>565 Equipo de comunicación y telecomunicación</t>
  </si>
  <si>
    <t>567 Herramientas y máquinas-herramienta</t>
  </si>
  <si>
    <t>569 Otros equipos</t>
  </si>
  <si>
    <t>5700 ACTIVOS BIOLOGICOS</t>
  </si>
  <si>
    <t>571 Bovinos</t>
  </si>
  <si>
    <t>572 Porcinos</t>
  </si>
  <si>
    <t>573 Aves</t>
  </si>
  <si>
    <t>574 Ovinos y caprinos</t>
  </si>
  <si>
    <t>575 Peces y acuicultura</t>
  </si>
  <si>
    <t>576 Equinos</t>
  </si>
  <si>
    <t>577 Especies menores y de zoológico</t>
  </si>
  <si>
    <t>578 Árboles y plantas</t>
  </si>
  <si>
    <t>579 Otros activos biológicos</t>
  </si>
  <si>
    <t>564 Sistemas de aire acond., calef. y de refrigeración</t>
  </si>
  <si>
    <t>566 Equipos de generación eléctrica, aparatos y acc. Eléct.</t>
  </si>
  <si>
    <t>5800 BIENES INMUEBLES</t>
  </si>
  <si>
    <t>581 Terrenos</t>
  </si>
  <si>
    <t>582 Viviendas</t>
  </si>
  <si>
    <t>583 Edificios no residenciales</t>
  </si>
  <si>
    <t>589 Otros bienes inmuebles</t>
  </si>
  <si>
    <t>5900 ACTIVOS INTANGIBLES</t>
  </si>
  <si>
    <t>591 Software</t>
  </si>
  <si>
    <t>592 Patentes</t>
  </si>
  <si>
    <t>593 Marcas</t>
  </si>
  <si>
    <t>594 Derechos</t>
  </si>
  <si>
    <t>595 Concesiones</t>
  </si>
  <si>
    <t>596 Franquicias</t>
  </si>
  <si>
    <t>597 Licencias informáticas e intelectuales</t>
  </si>
  <si>
    <t>598 Licencias industriales, comerciales y otras</t>
  </si>
  <si>
    <t>599 Otros activos intangibles</t>
  </si>
  <si>
    <t>5000 BIENES MUEBLES, INMUEBLES E INTANGIBLES</t>
  </si>
  <si>
    <t>CLASIFICADOR POR OBJETO DEL GASTO</t>
  </si>
  <si>
    <t>CANTIDAD</t>
  </si>
  <si>
    <t>CONCEPTO</t>
  </si>
  <si>
    <t>DESCRIPCIÓN</t>
  </si>
  <si>
    <t>VALOR UNITARIO</t>
  </si>
  <si>
    <t>MONTO</t>
  </si>
  <si>
    <t>FORMATO SUGERIDO PARA PROYECTOS DE INVERSIÓN EN BIENES MUEBLES</t>
  </si>
  <si>
    <t>CONSIDERACIONES GENERALES:</t>
  </si>
  <si>
    <r>
      <rPr>
        <b/>
        <sz val="12"/>
        <color theme="1"/>
        <rFont val="Calibri"/>
        <family val="2"/>
        <scheme val="minor"/>
      </rPr>
      <t xml:space="preserve">1. </t>
    </r>
    <r>
      <rPr>
        <sz val="11"/>
        <color theme="1"/>
        <rFont val="Calibri"/>
        <family val="2"/>
        <scheme val="minor"/>
      </rPr>
      <t>Se sugiere eliminar las filas en ceros, a fin de que el formato quepa en una sola hoja, en horizontal.</t>
    </r>
  </si>
  <si>
    <r>
      <rPr>
        <b/>
        <sz val="12"/>
        <color theme="1"/>
        <rFont val="Calibri"/>
        <family val="2"/>
        <scheme val="minor"/>
      </rPr>
      <t xml:space="preserve">3. </t>
    </r>
    <r>
      <rPr>
        <sz val="11"/>
        <color theme="1"/>
        <rFont val="Calibri"/>
        <family val="2"/>
        <scheme val="minor"/>
      </rPr>
      <t>Los títulos de las columnas se refieren a lo siguiente:</t>
    </r>
  </si>
  <si>
    <r>
      <rPr>
        <b/>
        <sz val="12"/>
        <color theme="1"/>
        <rFont val="Calibri"/>
        <family val="2"/>
        <scheme val="minor"/>
      </rPr>
      <t>Marco Conceptual de Contabilidad Gubernamental, Numeral 101                                                                                                                                                           Programas y proyectos de inversión</t>
    </r>
    <r>
      <rPr>
        <sz val="12"/>
        <color theme="1"/>
        <rFont val="Calibri"/>
        <family val="2"/>
        <scheme val="minor"/>
      </rPr>
      <t xml:space="preserve">
Se especifican las acciones que implican erogaciones de </t>
    </r>
    <r>
      <rPr>
        <b/>
        <u/>
        <sz val="12"/>
        <color theme="1"/>
        <rFont val="Calibri"/>
        <family val="2"/>
        <scheme val="minor"/>
      </rPr>
      <t>gasto de capital</t>
    </r>
    <r>
      <rPr>
        <sz val="12"/>
        <color theme="1"/>
        <rFont val="Calibri"/>
        <family val="2"/>
        <scheme val="minor"/>
      </rPr>
      <t xml:space="preserve"> destinadas tanto a
obra pública en infraestructura como a la adquisición y modificación de inmuebles, </t>
    </r>
    <r>
      <rPr>
        <b/>
        <u/>
        <sz val="12"/>
        <color theme="1"/>
        <rFont val="Calibri"/>
        <family val="2"/>
        <scheme val="minor"/>
      </rPr>
      <t>adquisiciones
de bienes muebles asociadas</t>
    </r>
    <r>
      <rPr>
        <sz val="12"/>
        <color theme="1"/>
        <rFont val="Calibri"/>
        <family val="2"/>
        <scheme val="minor"/>
      </rPr>
      <t xml:space="preserve"> a estos programas, y rehabilitaciones que impliquen un aumento
en la capacidad o vida útil de los activos de infraestructura e inmuebles.</t>
    </r>
  </si>
  <si>
    <r>
      <t xml:space="preserve">          •</t>
    </r>
    <r>
      <rPr>
        <b/>
        <sz val="11"/>
        <color theme="1"/>
        <rFont val="Calibri"/>
        <family val="2"/>
        <scheme val="minor"/>
      </rPr>
      <t xml:space="preserve"> CANTIDAD</t>
    </r>
    <r>
      <rPr>
        <sz val="11"/>
        <color theme="1"/>
        <rFont val="Calibri"/>
        <family val="2"/>
        <scheme val="minor"/>
      </rPr>
      <t>: El número de artículos que se presupuesta comprar.</t>
    </r>
  </si>
  <si>
    <r>
      <t xml:space="preserve">          </t>
    </r>
    <r>
      <rPr>
        <b/>
        <sz val="11"/>
        <color theme="1"/>
        <rFont val="Calibri"/>
        <family val="2"/>
        <scheme val="minor"/>
      </rPr>
      <t>• CONCEPTO:</t>
    </r>
    <r>
      <rPr>
        <sz val="11"/>
        <color theme="1"/>
        <rFont val="Calibri"/>
        <family val="2"/>
        <scheme val="minor"/>
      </rPr>
      <t xml:space="preserve"> Nombre del artículo (silla, escritorio, computadora, etc.)</t>
    </r>
  </si>
  <si>
    <r>
      <t xml:space="preserve">          • </t>
    </r>
    <r>
      <rPr>
        <b/>
        <sz val="11"/>
        <color theme="1"/>
        <rFont val="Calibri"/>
        <family val="2"/>
        <scheme val="minor"/>
      </rPr>
      <t>DESCRIPCIÓN:</t>
    </r>
    <r>
      <rPr>
        <sz val="11"/>
        <color theme="1"/>
        <rFont val="Calibri"/>
        <family val="2"/>
        <scheme val="minor"/>
      </rPr>
      <t xml:space="preserve"> Reseña breve del destino que tendrán los bienes (p.ej: para su uso en el programa 70 y más; para el departamento de Contraloría Interna, etc.</t>
    </r>
  </si>
  <si>
    <r>
      <t xml:space="preserve">          • </t>
    </r>
    <r>
      <rPr>
        <b/>
        <sz val="11"/>
        <color theme="1"/>
        <rFont val="Calibri"/>
        <family val="2"/>
        <scheme val="minor"/>
      </rPr>
      <t>VALOR UNITARIO</t>
    </r>
    <r>
      <rPr>
        <sz val="11"/>
        <color theme="1"/>
        <rFont val="Calibri"/>
        <family val="2"/>
        <scheme val="minor"/>
      </rPr>
      <t>: Costo del artículo como pieza individual.</t>
    </r>
  </si>
  <si>
    <r>
      <rPr>
        <b/>
        <sz val="12"/>
        <color theme="1"/>
        <rFont val="Calibri"/>
        <family val="2"/>
        <scheme val="minor"/>
      </rPr>
      <t xml:space="preserve">5. </t>
    </r>
    <r>
      <rPr>
        <sz val="11"/>
        <color theme="1"/>
        <rFont val="Calibri"/>
        <family val="2"/>
        <scheme val="minor"/>
      </rPr>
      <t xml:space="preserve">Sólo en caso de que no haya presupuesto para los capítulos 5000 y 6000, se hará un oficio donde se especifique que no existen Proyectos de Inversión para el presente ejercicio fiscal. </t>
    </r>
  </si>
  <si>
    <r>
      <rPr>
        <b/>
        <sz val="12"/>
        <color theme="1"/>
        <rFont val="Calibri"/>
        <family val="2"/>
        <scheme val="minor"/>
      </rPr>
      <t xml:space="preserve">4. </t>
    </r>
    <r>
      <rPr>
        <sz val="11"/>
        <color theme="1"/>
        <rFont val="Calibri"/>
        <family val="2"/>
        <scheme val="minor"/>
      </rPr>
      <t>Puede repetirse la Partida Genérica en caso de que haya diferentes conceptos en la misma.</t>
    </r>
  </si>
  <si>
    <r>
      <rPr>
        <b/>
        <sz val="12"/>
        <color theme="1"/>
        <rFont val="Calibri"/>
        <family val="2"/>
        <scheme val="minor"/>
      </rPr>
      <t>2.</t>
    </r>
    <r>
      <rPr>
        <sz val="11"/>
        <color theme="1"/>
        <rFont val="Calibri"/>
        <family val="2"/>
        <scheme val="minor"/>
      </rPr>
      <t xml:space="preserve"> Las cantidades reflejadas en la columna </t>
    </r>
    <r>
      <rPr>
        <b/>
        <sz val="11"/>
        <color theme="1"/>
        <rFont val="Calibri"/>
        <family val="2"/>
        <scheme val="minor"/>
      </rPr>
      <t>"MONTO",</t>
    </r>
    <r>
      <rPr>
        <sz val="11"/>
        <color theme="1"/>
        <rFont val="Calibri"/>
        <family val="2"/>
        <scheme val="minor"/>
      </rPr>
      <t xml:space="preserve"> deben coincidir con lo reflejado en el Estado Analítico del Ejercicio del Presupuesto de Egresos por COG, del momento </t>
    </r>
    <r>
      <rPr>
        <b/>
        <sz val="11"/>
        <color theme="1"/>
        <rFont val="Calibri"/>
        <family val="2"/>
        <scheme val="minor"/>
      </rPr>
      <t>"MODIFICADO"</t>
    </r>
    <r>
      <rPr>
        <sz val="11"/>
        <color theme="1"/>
        <rFont val="Calibri"/>
        <family val="2"/>
        <scheme val="minor"/>
      </rPr>
      <t xml:space="preserve"> del trimestre que se informa.</t>
    </r>
  </si>
  <si>
    <r>
      <t xml:space="preserve">          • </t>
    </r>
    <r>
      <rPr>
        <b/>
        <sz val="11"/>
        <color theme="1"/>
        <rFont val="Calibri"/>
        <family val="2"/>
        <scheme val="minor"/>
      </rPr>
      <t>MONTO:</t>
    </r>
    <r>
      <rPr>
        <sz val="11"/>
        <color theme="1"/>
        <rFont val="Calibri"/>
        <family val="2"/>
        <scheme val="minor"/>
      </rPr>
      <t xml:space="preserve"> Resultado de la multiplicación del Valor Unitario por la Cantidad (debe coincidir con el momento presupuestal </t>
    </r>
    <r>
      <rPr>
        <b/>
        <sz val="11"/>
        <color theme="1"/>
        <rFont val="Calibri"/>
        <family val="2"/>
        <scheme val="minor"/>
      </rPr>
      <t>modificado)</t>
    </r>
  </si>
  <si>
    <t>Camioneta Equinox</t>
  </si>
  <si>
    <t>Caminoneta Endeavor</t>
  </si>
  <si>
    <t>Para Dirección de Policias de Investigación</t>
  </si>
  <si>
    <t>Impresora Multifuncional</t>
  </si>
  <si>
    <t>Para Dirección de Planeación</t>
  </si>
  <si>
    <t>Para uso del Titular de la Fiscalía Especializada</t>
  </si>
  <si>
    <t>Teléfono Celular</t>
  </si>
  <si>
    <t>Software SACCG</t>
  </si>
  <si>
    <t>Para contabilidad de la Fiscalía Especializada Anticorrupción</t>
  </si>
  <si>
    <t>Nomipaq</t>
  </si>
  <si>
    <t xml:space="preserve">Para cálculo de nómina de la Fiscalía Especializada </t>
  </si>
  <si>
    <t>Dispensador de agua</t>
  </si>
  <si>
    <t>Para personal de Fiscalía Especializada</t>
  </si>
  <si>
    <t>Para Dirección Administrativa</t>
  </si>
  <si>
    <t>PC FORTE CORE I5-7400 INTEL G7 8GB 240GBS CON KIT TECLADO Y MOUSE LOGITECH K120/M1, MONITOR y BOCINAS</t>
  </si>
  <si>
    <t>SILLA TELA GR NY (IMITACIÓN)</t>
  </si>
  <si>
    <t>SILLAS VISITANTE MODELO LK-01 EN TELA COLOR NEGRO</t>
  </si>
  <si>
    <t>MÓDULO DE RECEPCIÓN CURVO EN MELAMINA COLOR CHOCOLATE CON ESTRUCTRA METÁLICA COLOR ALUMINIO MODELO 220 LINEA ITALIA</t>
  </si>
  <si>
    <t>SILLA CAJERO MODELO A-125 EN TELA COLOR NEGRO</t>
  </si>
  <si>
    <t>CONJUNTO EJECUTIVO LINEA SPAZIO EN MELAMINA CONSTA DE:
1 ESCRITORIO BALA DE 1.83X80M
1 PUENTE LATERAL DE .90X.58M
1 CREDENZA EJECUTIVA DE1.83X.58M
1 PEDESTAL DE 2 CAJÓN 1 GAVETA
1 LIBRERO SOBRE CREDENZA DE 1.8X.4X1.05M CON PUERTAS</t>
  </si>
  <si>
    <t>SILLÓN EJECUTIVO MODELO RIMINI EN PIEL/VINIL COLOR NEGRO</t>
  </si>
  <si>
    <t>silla visitante modelo lk-01 en tela color negro</t>
  </si>
  <si>
    <t>mesa de juntas ovalada de 2.4x1.20m en melamina color vino/negro linea modular</t>
  </si>
  <si>
    <t>SILLÓN VISITANTE MODELO E-40 EN TELA COLOR NEGRO</t>
  </si>
  <si>
    <t>mesa de juntas redondA de 1.20m en melamina color vino/negro linea modular</t>
  </si>
  <si>
    <t>SILLA VISITANTE MODELO JC-10 EN TELA COLOR NEGRO</t>
  </si>
  <si>
    <t>CONJUNTO SECRETARIAL LINEA EUROEXPRESS, MELANINACOLOR VINO/NEGRO, CONSTA DE :
1ESCRITORIO RECTANGULAR DE1.5X.60M
1 LATERAL DE .90X.45M
1 PEDESTAL DE 1 ENTREPAÑO, 1 CAJÓN Y 1 GAVETA</t>
  </si>
  <si>
    <t>CONJUNTO SECRETARIAL LINEA VOLT, MELANINACOLOR VINO/NEGRO, CONSTA DE :
1ESCRITORIO RECTANGULAR DE 1.6X.60M
1 LATERAL DE .82X.52M
1 PEDESTAL DE 1 ENTREPAÑO, 1 CAJÓN Y 1 GAVETA</t>
  </si>
  <si>
    <t>SILLÓN EJECUTIVO MODELO E-57 EN TELA COLOR NEGRO</t>
  </si>
  <si>
    <t>SILLÓN EJECUTIVO MODELO E-50 EN TELA COLOR NEGRO</t>
  </si>
  <si>
    <t xml:space="preserve">CONJUNTO SECRETARIAL DE 1.20X.60M, MELANINACOLOR VINO/NEGRO, LINEA TRADICIONAL </t>
  </si>
  <si>
    <t>SILLA VISITANTE MODELO AB-400 EN TELA COLOR NEGRO</t>
  </si>
  <si>
    <t>MESA AUXILIAR DE 1.20X.60M EN MELAMINA COLOR VINO/NEGRO</t>
  </si>
  <si>
    <t>MESA AUXILIAR DE .90X.60M EN MELAMINA COLOR VINO/NEGRO, LINEA 8000</t>
  </si>
  <si>
    <t>Para oficina Vicefiscal</t>
  </si>
  <si>
    <t>Para diferentes áreas de trabajo</t>
  </si>
  <si>
    <t>Para recepción</t>
  </si>
  <si>
    <t>Para Oficina de Fiscal Especializado</t>
  </si>
  <si>
    <t>Para las áreas de Ministerios públicos</t>
  </si>
  <si>
    <t>Para Dirección General de Administración, reuniones de trabajo</t>
  </si>
  <si>
    <t>Para oficinas de Agentes de miniterio público</t>
  </si>
  <si>
    <t>Para oficiales ministeriales y policías de investigación</t>
  </si>
  <si>
    <t>PANTALLA DE PROYECCIÓN PORTATIL DE TRIPIE SCREENS 1.78X1.78</t>
  </si>
  <si>
    <t>Para actividades de capacitación y uso del personal de Fiscalía</t>
  </si>
  <si>
    <t>SILLA SECRETARIAL MODELO A-115 EN TELA COLOR NEGRO</t>
  </si>
  <si>
    <t>ARCHIVERO DE 3 GAVETAS EN MELAMINA COLOR VINO/NEGRO LINEA 8000</t>
  </si>
  <si>
    <t>ARCHIVERO DE 2 GAVETAS METÁLICO COLOR NEGRO LINEA INSTITUCIONAL</t>
  </si>
  <si>
    <t>MESA REDONDA DE 1.2M EN MELAMINA COLOR VINO/NEGRO LINEA MODULAR</t>
  </si>
  <si>
    <t>MESA DE CENTRO DE1X.5X.45M EN MELAMINA COLOR GRAFITO LINEA ITALIA</t>
  </si>
  <si>
    <t>MESA ESQUINERA DE .5X.5X.45M EN MELAMINA COLOR GRAFITO LINEA ITALIA</t>
  </si>
  <si>
    <t>SOFÁ DE 1 PLAZA MODELO BERLÍN EN TELA MINI COLOR NEGRO CON ESTRUCTURA METÁLICA CROMADA</t>
  </si>
  <si>
    <t>SOFÁ DE 2 PLAZAS MODELO BERLÍN EN TELA MINI COLOR NEGRO CON ESTRUCTURA METÁLICA CROMADA</t>
  </si>
  <si>
    <t>SOFÁ DE 3 PLAZAS MODELO BERLÍN EN TELA MINI COLOR NEGRO CON ESTRUCTURA METÁLICA CROMADA</t>
  </si>
  <si>
    <t>SOFÁ DE 2 PLAZAS CON MESA MODELO ANKARA EN TELA MINI COLOR NEGRO</t>
  </si>
  <si>
    <t>PIZARRÓN DE CORCHO ALFRA WHITE STAR 90X120</t>
  </si>
  <si>
    <t>MESA AUXILIAR DE .90X.60M EN MELAMINA COLOR VINO/NEGRO, CON CAJÓN LAPICERO  LINEA 8000</t>
  </si>
  <si>
    <t>SILLÓN EJECUTIVO MOD E-53 CON TELA COLOR NEGRO</t>
  </si>
  <si>
    <t>Agencias ministeriales</t>
  </si>
  <si>
    <t>Policías de Investigación</t>
  </si>
  <si>
    <t>Agencias Ministeriales, peritos especizaliados y otras áreas</t>
  </si>
  <si>
    <t>Coordinador de Planeación, Evaluación y Desarrollo Institucional</t>
  </si>
  <si>
    <t>Oficina Fiscal Especializado</t>
  </si>
  <si>
    <t>Área de recepción</t>
  </si>
  <si>
    <t>Unidad de análisis conductual</t>
  </si>
  <si>
    <t>Dirección Administrativa</t>
  </si>
  <si>
    <t>ENMICADORA FELLOWES ANCHO 9.5" 5 MICAS</t>
  </si>
  <si>
    <t>ON THE MINUTE LECTOR DE HUELLA OTM-4.5-DP-100</t>
  </si>
  <si>
    <t xml:space="preserve">ENGARGOLADORA ARILLO METÁLICO Y ESP </t>
  </si>
  <si>
    <t>Dirección Administrativa, registros contables y nómina</t>
  </si>
  <si>
    <t>Dirección de Planeación</t>
  </si>
  <si>
    <t>COMPUTADORA CORE i5 8 GENERACIÓN 4GBDD 4.4, 266MHZ, DD 1TB 7200 RM, UNIDAD DVD7CD INTEL UHD GRAPICS, W10P, CON MONITOR DELL E1916H 18.5"</t>
  </si>
  <si>
    <t>LAPTOP DELL INSPIRON COR i5 7200 u 8GAB, RAM D.D 1TB DVDRW WINDOWS 10 PRO DVD/CD</t>
  </si>
  <si>
    <t>L6171 MULTIFUNCIONAL EPSON WIFI, USB RED ADF OFICIO</t>
  </si>
  <si>
    <t>ESCANER EPSON WORKFORCE ES-400</t>
  </si>
  <si>
    <t>IMPRESORA HP 2134 COLOR, MULTIFUNCIONAL COLOR</t>
  </si>
  <si>
    <t>Personal de Fiscalía</t>
  </si>
  <si>
    <t>Fiscal especializado y Dirección Gral de Administración</t>
  </si>
  <si>
    <t>Agencias Ministeriales</t>
  </si>
  <si>
    <t>Vice-Fiscalía de Investigación</t>
  </si>
  <si>
    <t>TELÉFONO CELULAR MARCA HUAWEI LTE DRA-LX3 Y5 NEO CAFÉ KIT C048</t>
  </si>
  <si>
    <t>Vicefiscalía de Investigación</t>
  </si>
  <si>
    <t>REGULADOR KOBLENZ 1400VA 600WATTS 8 CONTACTOS</t>
  </si>
  <si>
    <t>Personal de Fiscalía Especializada</t>
  </si>
  <si>
    <t>LICENCIA PERPETUA PARA PC DE OFFICE PROFESSIONAL PLUS 2016 WORD, EXCEL, POWERPONIT,OUTLOOK,PUBLISHER,ONENOTE Y ACCES</t>
  </si>
  <si>
    <t>KASPERSKY ANTIVIRUS 2019. LICENCIA POR UN AÑO</t>
  </si>
  <si>
    <t>Personal Fiscalía Especializada</t>
  </si>
  <si>
    <t>FISCALÍA ESPECIALIZADA EN COMBATE A LA CORRUPCIÓN DEL ESTADO DE DURANGO</t>
  </si>
  <si>
    <t>ESCRITORIO SECRETARIAL DE 1.20x.60m EN MELAMINA COLOR VINO/NEGRO LINEA TRADICIONAL</t>
  </si>
  <si>
    <t>ARCHIVERO 4 GAVETAS EN MELAMINA COLOR VINO/NEGRO LINEA 8000</t>
  </si>
  <si>
    <t>MESA DE CENTRO DE .50X.5X.40M EN MELAMINA COLOR NEGRO CON ESTRUCTURA METÁLICA</t>
  </si>
  <si>
    <t>SOFÁ DE 2 PIEZAS MODELO PARÍS EN TELA COLOR NEGRO</t>
  </si>
  <si>
    <t>Para oficinas de la Dirección de Policía Investigadora y Peritos de investigación</t>
  </si>
  <si>
    <t xml:space="preserve">Para oficinas de la Dirección de Policía Investigadora </t>
  </si>
  <si>
    <t>Dirección de Informática y Estadística</t>
  </si>
  <si>
    <t>DISCO DURO ADATA C TROPTECTOR NS</t>
  </si>
  <si>
    <t>CONMUTADOR TELEFÓNICO PANASONIC KX-NS500 PARA 20 TRONCALES Y 60 EXTENSIONES</t>
  </si>
  <si>
    <t>SERVIDOR DE 2 UNIDADES DE RACK MARCA IBM SYSTEM X 3629 M3, PROCESADORES XEON 4 DISCOS DUROS, SWITCH DE 48 PUERTOS</t>
  </si>
  <si>
    <t>ALL IN ONE DELL OPTIPLEX 7470 CORE17</t>
  </si>
  <si>
    <t>PORTATIL DELL VOSTRO CORE15 1021OU   LAPTOP</t>
  </si>
  <si>
    <t>DESKTOP DELL OPTIPLEX 7060 MFF INTEL</t>
  </si>
  <si>
    <t>PROYECTOR EPSON V11H843021 POWERLITE X41
NS: X4HS9500665</t>
  </si>
  <si>
    <t>DIRECCIÓN DE INFORMÁTICA</t>
  </si>
  <si>
    <t>Dirección de Servicios Periciales</t>
  </si>
  <si>
    <t xml:space="preserve">ENFRIADOR MABE EMM </t>
  </si>
  <si>
    <t>UNIDAD DE ENFRIAMIENTO MINISPLIT  DE 1 TONELADA MIRAGE, 12000</t>
  </si>
  <si>
    <t>MICROONDAS ..7</t>
  </si>
  <si>
    <t>FRIGOBAR</t>
  </si>
  <si>
    <t>Oficina Fiscal</t>
  </si>
  <si>
    <t>MONITOR DELL 21.5 E2216HV</t>
  </si>
  <si>
    <t>T.V. ATVIO 50 4K</t>
  </si>
  <si>
    <t>BEAT LTNB PAQ B  MARCA: CHEVROLET  TIPO: AUTO   MODELO: 2019 USADO CBS
MOTOR: HECHO EN INDIA USADO   SERIE: MA6CB5CD6KT024548
PEDIMENTO: 4024F38013461 07/09/2018   CAPACIDAD: 5 PASAJEROS
CILINDROS: 4      COLOR: ROJO GRANADA/NEGRO
COMBUSTIBLE: GASOLINA</t>
  </si>
  <si>
    <t>BEAT LTNB PAQ B  MARCA: CHEVROLET  TIPO: AUTO
MODELO: 2020 CBS  MOTOR: HECHO EN INDIA USADO
SERIE: MA6CB5CD4LT037042    CAPACIDAD: 5 PASAJEROS   CILINDROS: 4 
COLOR: ROJO GRANADA/NEGRO     COMBUSTIBLE: GASOLINA</t>
  </si>
  <si>
    <t>AVANZA PREMIUM AT     MARCA: TOYOTA  TIPO: VEHICULO   MODELO: 2019 
MOTOR:       SERIE: MHKMF5CF2K K008045    CAPACIDAD: 7 PASAJEROS
PUERTAS : 5   CILINDROS: 4   COLOR: ARENA     COMBUSTIBLE: GASOLINA</t>
  </si>
  <si>
    <t>HILUX  DOB CAB SR     MARCA: TOYOTA  TIPO: VEHICULO   MODELO: 2015 
CLAVE VEHICULAR: 1520604   SERIE: MROEX32G3F0265275
CAPACIDAD: 5 PASAJEROS   PUERTAS : 4  CILINDROS: 4    COLOR: BLANCA
COMBUSTIBLE: GASOLINA</t>
  </si>
  <si>
    <t>DIR DE POLICÍA INVESTIGADORA</t>
  </si>
  <si>
    <t>AGENCIA MINISTERIAL ITIRENANTE</t>
  </si>
  <si>
    <t>DIRECCION ADMINISTRATIVA</t>
  </si>
  <si>
    <t>NO BREAK UPR 1006 1000 VA 500 WATTS</t>
  </si>
  <si>
    <t>COLCHÓN</t>
  </si>
  <si>
    <t>COMPUTADORA NOTEBOOK AIO HO</t>
  </si>
  <si>
    <t>DISCO DURO EXTERNO ADATA 1TB HV300 SLIM AZUL 3.1</t>
  </si>
  <si>
    <t xml:space="preserve">IMPRESORA MTF EPSON L5190 C11CG85301 </t>
  </si>
  <si>
    <t xml:space="preserve">ESCANER EPSON WORKFORCE ES-500W WIRELESS </t>
  </si>
  <si>
    <t>COMPUTADORA AIO HP</t>
  </si>
  <si>
    <t>VICEFISCALIA DE INVESTIGACIÓN</t>
  </si>
  <si>
    <t>DIRECCIÓN DE PLANEACIÓN</t>
  </si>
  <si>
    <t>MESA DE TRABAJO DE .90X.60M EN MELAMINA COLOR VINO/NEGRO LINEA 8000</t>
  </si>
  <si>
    <t>MESA DE TRABAJO REDONDA DE 1.20M EN MELAMINA COLOR VINO/NEGRO LINEA MODULAR</t>
  </si>
  <si>
    <t>SILLA VISITANTE MODEO LK-01 EN TELA COLOR NEGRO</t>
  </si>
  <si>
    <t>MESA GAUITIER DE .82X.52M EN MELAMINA COLOR VINO/NEGRO LINEA 8000</t>
  </si>
  <si>
    <t>Dirección Administrativa  sala de juntas</t>
  </si>
  <si>
    <t>BOCINAS DIGITALES, AUSIFONO DIADEMA 3.5"</t>
  </si>
  <si>
    <t>Unidad de Investigación , agente itinerante, personal de apoyo</t>
  </si>
  <si>
    <t>Dirección Administrativa
Agentes ministeriales especializados</t>
  </si>
  <si>
    <t>Dirección de Poicías</t>
  </si>
  <si>
    <t>Fiscal Especial</t>
  </si>
  <si>
    <t>PINTARRON BLANCO ALFRA WHITE STAR 90 X 1.2</t>
  </si>
  <si>
    <t>ESTANTE METÁLICO COLOR GRIS, 4 POSTES DE 2.00 M CAL 14, 6 ENTREPAÑO DE .84X.45 M CA 22 CON REFUERZO TORNILLERIA</t>
  </si>
  <si>
    <t>Unidad de análisis y métodos de investigación</t>
  </si>
  <si>
    <t>KIT DE DACTILOSCOPIA</t>
  </si>
  <si>
    <t>IMPRESORA MULTIFUNCIONAL EPSON L5190 C11CG85301</t>
  </si>
  <si>
    <t>MICROFONO DE DIADEMA BLUETOOTH RS</t>
  </si>
  <si>
    <t>CÁMARA WEB C 170 LOGITECH</t>
  </si>
  <si>
    <t>CÁMARA WEB C 270 LOGITECH</t>
  </si>
  <si>
    <t>Dirección de peritos</t>
  </si>
  <si>
    <t>HUMIFICADOR HL</t>
  </si>
  <si>
    <t>Fiscal especializado</t>
  </si>
  <si>
    <t>MICROFONO ALÁMBRICO SUPERCARD</t>
  </si>
  <si>
    <t>CÁMARA CANON EOS REBEL T7 EF S 18 55 MM</t>
  </si>
  <si>
    <t>TRIPIE COMPACT ACT 52 1.5 KG MANFROTTO</t>
  </si>
  <si>
    <t>Dirección de Peritos</t>
  </si>
  <si>
    <t xml:space="preserve">MICROSOFT 365 PERSONAL </t>
  </si>
  <si>
    <t>Unidad de Investigación</t>
  </si>
  <si>
    <t>FORMATO DE PROYECTOS DE INVERSIÓN EN BIENES MUEBLES AL 31 DE DICIEMBRE 2020</t>
  </si>
  <si>
    <t>FUMIGADORA MANUAL HYUNDAI 2 LTOS HYD 2000</t>
  </si>
  <si>
    <t>DIABLO BODEGUERO 400KG</t>
  </si>
  <si>
    <t>TRITURADORA DE PAPEL</t>
  </si>
  <si>
    <t xml:space="preserve">PC CI 3G9 i3-9100 4GB 240GBSSD </t>
  </si>
  <si>
    <t>COMPUTADORA ALL IN ONE OPTILEX 7470 COREI7 9700</t>
  </si>
  <si>
    <t>IMPRESORA MULTIFUNCIONAL LASER HP M28W</t>
  </si>
  <si>
    <t xml:space="preserve">PC C17G9 INTEL I7-9700 </t>
  </si>
  <si>
    <t>ACCES POINT INALAMBRICO MODELO AIR CAP 2802-1-K9 MARCA CISCO</t>
  </si>
  <si>
    <t>TELÉFONO IP MODELO KX-NT551X-B CON BANDA ANCHA Y AUDIFONOS</t>
  </si>
  <si>
    <t>TELÉFONOS SIP BASICO KX-HDV100LAB  PANTALLA 2.3 LCD</t>
  </si>
  <si>
    <t>SISTEMA DE ENERGÍA UPS DE 1.5 KVA PARA GABINETE</t>
  </si>
  <si>
    <t>COMPUTADORA LENOVO THINK M75Q TINY RYZEN 5 PRO 3400/8GB DDR4 2666/256 SSD/M2/VGA/WIN10PRO  CON 4 MONITORES LED THINKVISION S24E-10</t>
  </si>
  <si>
    <t>COMPUTADORA INTEL CORE I7 8700 3.2 THINKCENTRE M720S</t>
  </si>
  <si>
    <t xml:space="preserve">COMPUTADORA PORTATIL DELL LATITUDE 3610 15.6 </t>
  </si>
  <si>
    <t>IMPRESORA MULTIFUNCIONAL EPSON L6171 WIFI USB RED</t>
  </si>
  <si>
    <t>ESCANER EPSON WORKFORCE DS-530 600X600</t>
  </si>
  <si>
    <t>MONITOR FHD VGA 65CCA LENOVO 21.5"</t>
  </si>
  <si>
    <t>IMPRESORA MULTIFUNCIONAL EPSON L8171 33/</t>
  </si>
  <si>
    <t>VICEFISCALÍA JURÍDICA</t>
  </si>
  <si>
    <t>FISCAL ESPECIALIZADO</t>
  </si>
  <si>
    <t>SISTEMAS</t>
  </si>
  <si>
    <t>AREAS OPERATIVAS</t>
  </si>
  <si>
    <t>AGENCIAS DE MINISTERIO</t>
  </si>
  <si>
    <t>AGENCIA MINISTERIO</t>
  </si>
  <si>
    <t>DIR ADMINISTRATIVA / COMUNICACIÓN SOCIAL</t>
  </si>
  <si>
    <t>SISTEMAS / VICEFISCALIA JURIDICA</t>
  </si>
  <si>
    <t>MESA PLEGABLE</t>
  </si>
  <si>
    <t>SILLÓN EJECUTIVO MODELO E-53 EN TELA COLOR NEGRO</t>
  </si>
  <si>
    <t>SILLA OPERATIVA MODELO L-450 EN TELA COLOR NEGRO CON BRAZOS</t>
  </si>
  <si>
    <t>LIBRERO MODULAR DE .80x.40x1.8 M CON ENTREPAÑOS EN MELAMINA COLOR VINO/NEGRO LINEA 8000</t>
  </si>
  <si>
    <t>PINTARRON BLANCO ALFRA WHITE STAR 90 X 1.2 S/SUJETAF 4834 C(3)</t>
  </si>
  <si>
    <t>CONJUNTO ESCRITORIO LINEA SPAZIO EN MELAMINA COLOR VINO NEGRO, ESCRITORIO1.83 x.80 , PUENTE .90x.58, CREDENZA 1.83x.58, PEDESTAL 2 CAJONESY UNA GAVETA   LIBRERO SOBRE CREDENZA 1.8x.40x1.05 CON PUERTAS</t>
  </si>
  <si>
    <t>CONJUNTO SECRETARIAL LINEA VOLT EN MELAMINA COLOR VINONEGRO: ESCRIITORIO BALA 1.60x.60, LATERAL .82x.52, PEDESTAL 1 ENTREPAÑO, 1 CAJÓN 1 GAVETA</t>
  </si>
  <si>
    <t>ESCRITORIO SECRETARIAL  DE 1.20x.50 CON 1 CAJON  Y 1 GAVETA  EN MELAMINA COLOR VINO CON ESTRUCTURA METÁLICA  COLOR NEGRO LINEA TRADICIONAL</t>
  </si>
  <si>
    <t>MESA REDONDA DE 1.20 EN MELAMINA COLOR VINO NEGRO LINEA MODULAR</t>
  </si>
  <si>
    <t>SILLA VISITANTE MODELO JC-10 EN TELA COLOR NEGRO CON BRAZOS CON ESTRUCTURA METÁLICA</t>
  </si>
  <si>
    <t>SILLA VISITANTE BANCA DE 3 PLAZAS ,MODELO AB-400 EN TELA COLOR NEGRO CON ESTRUCTURA METALICA</t>
  </si>
  <si>
    <t>SILLA SECRETARIAL OPERATIVA MODLEO L-450 EN TELA COLOR NEGRO CON BRAZOS</t>
  </si>
  <si>
    <t>CREDENZA EJECUTIVA DE 1.20x.40 2 PUERTAS EN MELAMINA COLOR VINO/NEGRO LINEA 8000</t>
  </si>
  <si>
    <t>MESA AUXILIAR DE .90x.80 EN MELAMINA COLOR VINO(NEGRO LINEA 8000</t>
  </si>
  <si>
    <t>MESA CAPACITACIÓN BINARIA DE 1.5 x.60 EN MELAMINA COLOR VINO CON ESTRUCTURA METÁLICA COLOR NEGRO</t>
  </si>
  <si>
    <t>SILLA VISITANTE MODELO AB-400 EN TELA COLOR NEGRO CON ESTRUCTURA METÁLICA</t>
  </si>
  <si>
    <t>PINTARRIÓN BCO ALFRA WHITE STAR 90x120 S/SUJETA</t>
  </si>
  <si>
    <t>MESA DE CONSEJO OVALADA DE 2.4x1.20 MELAMINA COLOR VINO CON NEGRO</t>
  </si>
  <si>
    <t>RESTIRADOR PEGABLE  DE 1.20x .80   CON CUBIERTA DE MELAMINA COLOR BLANCO BASE METÁLICO PLEGABLE CON CANASTILLA PARA ACCESORIOS</t>
  </si>
  <si>
    <t>GABINETE PARA 47 LLAVES METÁLICO COLOR BLANCO CON CHAPA</t>
  </si>
  <si>
    <t>VICEFISCALÍA DE IVESTIGACIÓN</t>
  </si>
  <si>
    <t>AGENTES DE MINISTERIO, POLICIAS Y PERITOS</t>
  </si>
  <si>
    <t>VICEFISCAL Y PERITOS</t>
  </si>
  <si>
    <t>VICEFISCALÍA, AGENTES, PERITOS Y POLCIAS</t>
  </si>
  <si>
    <t>AREA COMUN</t>
  </si>
  <si>
    <t>VICEFISCALÍA Y POLICIAS</t>
  </si>
  <si>
    <t>SALA DE JUICIOS ORALES</t>
  </si>
  <si>
    <t>AGENCIAS DE MINISTERIO Y POLICIAS</t>
  </si>
  <si>
    <t>DIRECCIÓN DE PERITOS</t>
  </si>
  <si>
    <t>VICEFISCALIA DE IMNVESTIGACION</t>
  </si>
  <si>
    <t xml:space="preserve">ADMINISTRACIÓN  </t>
  </si>
  <si>
    <t>OFICINA FISCAL</t>
  </si>
  <si>
    <t>FISCAL /SECRETARIA PARTICULAR</t>
  </si>
  <si>
    <t>VICEFISCAL JURÍDICO / AGENTE MINISTERIO ITINERATE</t>
  </si>
  <si>
    <t>VICEFISCAL JURÍDICO/ SECRETARIA PARTICULAR FISCAL</t>
  </si>
  <si>
    <t>VICEFISCAL JURÍDICO</t>
  </si>
  <si>
    <t>AGENTES DE MINSTERIO PÚBLICO</t>
  </si>
  <si>
    <t xml:space="preserve">BUICK ENCLAVE USADO 2014  CLAVE XVN </t>
  </si>
  <si>
    <t>TELÉFONO CELULAR MARCA HUAWEI LTE DRA-LX9 Y5P NEGRO KIT</t>
  </si>
  <si>
    <t>PANTALLA MOTORIZADA PARA ROYECTOR, SOPORTE, CONTROL REMOTO Y ARNES PARA MONITO</t>
  </si>
  <si>
    <t>PROYECTOR EPSON POWERLITE S39</t>
  </si>
  <si>
    <t>BOCINAS LOGITECH S 120 2.0</t>
  </si>
  <si>
    <t>CAMARA WEB 1080P HD USB MICROFONO INTEGRADO NEGRO NE-423</t>
  </si>
  <si>
    <t>PROYECTOR EPSON  V11H843021 POWERLITE X41+</t>
  </si>
  <si>
    <t>SALA DE JUNTAS</t>
  </si>
  <si>
    <t>VARIAS AREAS</t>
  </si>
  <si>
    <t>SISTEMA DE VIGILANCIA DE 8 CANALES PARA RED INCLUYE 4 CÁMARAS BULLET, IP 2 MEGAPIXE  DISCO DURO DE 2 TB</t>
  </si>
  <si>
    <t>NO BREAK CDP R-UPR 758 759/A/375WATTS</t>
  </si>
  <si>
    <t>NO BREAK GHIA 750 VA 6 CONTACTOS</t>
  </si>
  <si>
    <t>TERMÓMETRO DE PISTOLA INFRARROJO</t>
  </si>
  <si>
    <t>DIR ADMINISTRATIVA /DIR JURIDICA</t>
  </si>
  <si>
    <t>512 Muebles, excepto de oficina y estanteria</t>
  </si>
  <si>
    <t>ANTECOMEDOR, MESA Y BANCOS</t>
  </si>
  <si>
    <t>BARANDAL CON PUERTA, ESCRITORIO PARA JUEZ, ESCRITORIO</t>
  </si>
  <si>
    <t>JUEGO DE MESAS LUXOR INMUSSA</t>
  </si>
  <si>
    <t>PERCHERO IFEEL</t>
  </si>
  <si>
    <t>SALA TURQUÍA (SOFA, LOVE SEAT Y SILLON)</t>
  </si>
  <si>
    <t>BARRA VITROPISO GRANDE CAOBA</t>
  </si>
  <si>
    <t>BANCO HOME CHICO GRIS</t>
  </si>
  <si>
    <t>REFRIGERADOR</t>
  </si>
  <si>
    <t>MICRO</t>
  </si>
  <si>
    <t>DOSIFICADORES DE AGUA</t>
  </si>
  <si>
    <t>POLICIA DE INVESTIGACIÓN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</si>
</sst>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12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5" borderId="0" xfId="0" applyFont="1" applyFill="1" applyBorder="1" applyAlignment="1">
      <alignment vertical="center"/>
    </xf>
    <xf numFmtId="0" fontId="0" fillId="5" borderId="0" xfId="0" applyFill="1" applyBorder="1" applyAlignment="1">
      <alignment horizontal="center" vertical="center" wrapText="1"/>
    </xf>
    <xf numFmtId="0" fontId="0" fillId="5" borderId="0" xfId="0" applyFill="1" applyBorder="1" applyAlignment="1">
      <alignment vertical="center" wrapText="1"/>
    </xf>
    <xf numFmtId="0" fontId="0" fillId="5" borderId="0" xfId="0" applyFill="1" applyBorder="1" applyAlignment="1">
      <alignment vertical="center"/>
    </xf>
    <xf numFmtId="0" fontId="0" fillId="5" borderId="8" xfId="0" applyFill="1" applyBorder="1" applyAlignment="1">
      <alignment vertical="center"/>
    </xf>
    <xf numFmtId="0" fontId="0" fillId="0" borderId="26" xfId="0" applyFill="1" applyBorder="1" applyAlignment="1">
      <alignment horizontal="center" vertical="center" wrapText="1"/>
    </xf>
    <xf numFmtId="3" fontId="1" fillId="0" borderId="26" xfId="0" applyNumberFormat="1" applyFont="1" applyFill="1" applyBorder="1" applyAlignment="1">
      <alignment horizontal="center" vertical="center"/>
    </xf>
    <xf numFmtId="0" fontId="0" fillId="0" borderId="26" xfId="0" applyFill="1" applyBorder="1" applyAlignment="1">
      <alignment vertical="center" wrapText="1"/>
    </xf>
    <xf numFmtId="4" fontId="0" fillId="0" borderId="26" xfId="0" applyNumberFormat="1" applyFill="1" applyBorder="1" applyAlignment="1">
      <alignment vertical="center"/>
    </xf>
    <xf numFmtId="43" fontId="0" fillId="0" borderId="26" xfId="1" applyFont="1" applyFill="1" applyBorder="1" applyAlignment="1">
      <alignment vertical="center"/>
    </xf>
    <xf numFmtId="43" fontId="0" fillId="0" borderId="26" xfId="1" applyFont="1" applyFill="1" applyBorder="1" applyAlignment="1">
      <alignment horizontal="center" vertical="center" wrapText="1"/>
    </xf>
    <xf numFmtId="43" fontId="0" fillId="0" borderId="26" xfId="1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vertical="center" wrapText="1"/>
    </xf>
    <xf numFmtId="4" fontId="1" fillId="0" borderId="26" xfId="0" applyNumberFormat="1" applyFont="1" applyFill="1" applyBorder="1" applyAlignment="1">
      <alignment vertical="center"/>
    </xf>
    <xf numFmtId="4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3" fontId="1" fillId="0" borderId="16" xfId="0" applyNumberFormat="1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 wrapText="1"/>
    </xf>
    <xf numFmtId="0" fontId="0" fillId="0" borderId="16" xfId="0" applyFill="1" applyBorder="1" applyAlignment="1">
      <alignment vertical="center" wrapText="1"/>
    </xf>
    <xf numFmtId="4" fontId="0" fillId="0" borderId="16" xfId="0" applyNumberFormat="1" applyFill="1" applyBorder="1" applyAlignment="1">
      <alignment vertical="center"/>
    </xf>
    <xf numFmtId="4" fontId="0" fillId="0" borderId="17" xfId="0" applyNumberFormat="1" applyFill="1" applyBorder="1" applyAlignment="1">
      <alignment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0" fillId="6" borderId="26" xfId="0" applyFill="1" applyBorder="1" applyAlignment="1">
      <alignment vertical="center" wrapText="1"/>
    </xf>
    <xf numFmtId="0" fontId="0" fillId="6" borderId="0" xfId="0" applyFill="1" applyAlignment="1">
      <alignment vertical="center"/>
    </xf>
    <xf numFmtId="0" fontId="0" fillId="6" borderId="26" xfId="0" applyFill="1" applyBorder="1" applyAlignment="1">
      <alignment horizontal="center" vertical="center" wrapText="1"/>
    </xf>
    <xf numFmtId="43" fontId="0" fillId="6" borderId="26" xfId="1" applyFont="1" applyFill="1" applyBorder="1" applyAlignment="1">
      <alignment horizontal="center" vertical="center"/>
    </xf>
    <xf numFmtId="0" fontId="10" fillId="6" borderId="26" xfId="0" applyFont="1" applyFill="1" applyBorder="1" applyAlignment="1">
      <alignment horizontal="center" vertical="center"/>
    </xf>
    <xf numFmtId="0" fontId="10" fillId="6" borderId="26" xfId="0" applyFont="1" applyFill="1" applyBorder="1" applyAlignment="1">
      <alignment horizontal="left" vertical="center" wrapText="1"/>
    </xf>
    <xf numFmtId="3" fontId="1" fillId="6" borderId="26" xfId="0" applyNumberFormat="1" applyFont="1" applyFill="1" applyBorder="1" applyAlignment="1">
      <alignment horizontal="center" vertical="center"/>
    </xf>
    <xf numFmtId="4" fontId="0" fillId="6" borderId="26" xfId="0" applyNumberFormat="1" applyFill="1" applyBorder="1" applyAlignment="1">
      <alignment vertical="center"/>
    </xf>
    <xf numFmtId="3" fontId="1" fillId="0" borderId="29" xfId="0" applyNumberFormat="1" applyFont="1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 wrapText="1"/>
    </xf>
    <xf numFmtId="0" fontId="0" fillId="0" borderId="29" xfId="0" applyFill="1" applyBorder="1" applyAlignment="1">
      <alignment vertical="center" wrapText="1"/>
    </xf>
    <xf numFmtId="4" fontId="0" fillId="0" borderId="29" xfId="0" applyNumberFormat="1" applyFill="1" applyBorder="1" applyAlignment="1">
      <alignment vertical="center"/>
    </xf>
    <xf numFmtId="4" fontId="0" fillId="0" borderId="30" xfId="0" applyNumberFormat="1" applyFill="1" applyBorder="1" applyAlignment="1">
      <alignment vertical="center"/>
    </xf>
    <xf numFmtId="4" fontId="1" fillId="0" borderId="32" xfId="0" applyNumberFormat="1" applyFont="1" applyFill="1" applyBorder="1" applyAlignment="1">
      <alignment vertical="center"/>
    </xf>
    <xf numFmtId="4" fontId="0" fillId="0" borderId="32" xfId="0" applyNumberFormat="1" applyFill="1" applyBorder="1" applyAlignment="1">
      <alignment vertical="center"/>
    </xf>
    <xf numFmtId="43" fontId="0" fillId="0" borderId="32" xfId="1" applyFont="1" applyFill="1" applyBorder="1" applyAlignment="1">
      <alignment vertical="center"/>
    </xf>
    <xf numFmtId="43" fontId="0" fillId="6" borderId="32" xfId="1" applyFont="1" applyFill="1" applyBorder="1" applyAlignment="1">
      <alignment horizontal="center" vertical="center"/>
    </xf>
    <xf numFmtId="43" fontId="7" fillId="6" borderId="26" xfId="1" applyFont="1" applyFill="1" applyBorder="1" applyAlignment="1">
      <alignment horizontal="center" vertical="center"/>
    </xf>
    <xf numFmtId="0" fontId="10" fillId="6" borderId="26" xfId="0" applyFont="1" applyFill="1" applyBorder="1" applyAlignment="1">
      <alignment horizontal="center" vertical="center" wrapText="1"/>
    </xf>
    <xf numFmtId="0" fontId="11" fillId="6" borderId="26" xfId="0" applyFont="1" applyFill="1" applyBorder="1" applyAlignment="1">
      <alignment horizontal="center" vertical="center" wrapText="1"/>
    </xf>
    <xf numFmtId="3" fontId="2" fillId="0" borderId="34" xfId="0" applyNumberFormat="1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 wrapText="1"/>
    </xf>
    <xf numFmtId="0" fontId="2" fillId="0" borderId="34" xfId="0" applyFont="1" applyFill="1" applyBorder="1" applyAlignment="1">
      <alignment vertical="center" wrapText="1"/>
    </xf>
    <xf numFmtId="4" fontId="2" fillId="0" borderId="34" xfId="0" applyNumberFormat="1" applyFont="1" applyFill="1" applyBorder="1" applyAlignment="1">
      <alignment vertical="center"/>
    </xf>
    <xf numFmtId="4" fontId="2" fillId="0" borderId="35" xfId="0" applyNumberFormat="1" applyFont="1" applyFill="1" applyBorder="1" applyAlignment="1">
      <alignment vertical="center"/>
    </xf>
    <xf numFmtId="0" fontId="4" fillId="2" borderId="37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 wrapText="1"/>
    </xf>
    <xf numFmtId="0" fontId="4" fillId="2" borderId="38" xfId="0" applyFont="1" applyFill="1" applyBorder="1" applyAlignment="1">
      <alignment horizontal="center" vertical="center"/>
    </xf>
    <xf numFmtId="3" fontId="1" fillId="7" borderId="26" xfId="0" applyNumberFormat="1" applyFont="1" applyFill="1" applyBorder="1" applyAlignment="1">
      <alignment horizontal="center" vertical="center"/>
    </xf>
    <xf numFmtId="0" fontId="1" fillId="7" borderId="26" xfId="0" applyFont="1" applyFill="1" applyBorder="1" applyAlignment="1">
      <alignment horizontal="center" vertical="center" wrapText="1"/>
    </xf>
    <xf numFmtId="0" fontId="1" fillId="7" borderId="26" xfId="0" applyFont="1" applyFill="1" applyBorder="1" applyAlignment="1">
      <alignment vertical="center" wrapText="1"/>
    </xf>
    <xf numFmtId="4" fontId="1" fillId="7" borderId="26" xfId="0" applyNumberFormat="1" applyFont="1" applyFill="1" applyBorder="1" applyAlignment="1">
      <alignment vertical="center"/>
    </xf>
    <xf numFmtId="4" fontId="1" fillId="7" borderId="32" xfId="0" applyNumberFormat="1" applyFont="1" applyFill="1" applyBorder="1" applyAlignment="1">
      <alignment vertical="center"/>
    </xf>
    <xf numFmtId="0" fontId="0" fillId="0" borderId="41" xfId="0" applyFill="1" applyBorder="1" applyAlignment="1">
      <alignment horizontal="center" vertical="center" wrapText="1"/>
    </xf>
    <xf numFmtId="0" fontId="8" fillId="0" borderId="41" xfId="0" applyFont="1" applyFill="1" applyBorder="1" applyAlignment="1">
      <alignment horizontal="center" vertical="center" wrapText="1"/>
    </xf>
    <xf numFmtId="0" fontId="0" fillId="0" borderId="41" xfId="0" applyFill="1" applyBorder="1" applyAlignment="1">
      <alignment vertical="center" wrapText="1"/>
    </xf>
    <xf numFmtId="4" fontId="0" fillId="0" borderId="41" xfId="0" applyNumberFormat="1" applyFill="1" applyBorder="1" applyAlignment="1">
      <alignment vertical="center"/>
    </xf>
    <xf numFmtId="4" fontId="0" fillId="0" borderId="42" xfId="0" applyNumberFormat="1" applyFill="1" applyBorder="1" applyAlignment="1">
      <alignment vertical="center"/>
    </xf>
    <xf numFmtId="0" fontId="10" fillId="0" borderId="26" xfId="0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 wrapText="1"/>
    </xf>
    <xf numFmtId="43" fontId="10" fillId="0" borderId="26" xfId="1" applyFont="1" applyFill="1" applyBorder="1" applyAlignment="1">
      <alignment horizontal="center" vertical="center"/>
    </xf>
    <xf numFmtId="0" fontId="10" fillId="0" borderId="34" xfId="0" applyFont="1" applyFill="1" applyBorder="1" applyAlignment="1">
      <alignment horizontal="center" vertical="center" wrapText="1"/>
    </xf>
    <xf numFmtId="43" fontId="10" fillId="0" borderId="34" xfId="1" applyFont="1" applyFill="1" applyBorder="1" applyAlignment="1">
      <alignment horizontal="center" vertical="center"/>
    </xf>
    <xf numFmtId="0" fontId="0" fillId="0" borderId="26" xfId="0" applyFont="1" applyFill="1" applyBorder="1" applyAlignment="1">
      <alignment horizontal="center" vertical="center" wrapText="1"/>
    </xf>
    <xf numFmtId="0" fontId="0" fillId="0" borderId="39" xfId="0" applyFill="1" applyBorder="1" applyAlignment="1">
      <alignment horizontal="center" vertical="center" wrapText="1"/>
    </xf>
    <xf numFmtId="0" fontId="0" fillId="0" borderId="39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2" fillId="0" borderId="33" xfId="0" applyFont="1" applyFill="1" applyBorder="1" applyAlignment="1">
      <alignment vertical="center" wrapText="1"/>
    </xf>
    <xf numFmtId="0" fontId="1" fillId="7" borderId="31" xfId="0" applyFont="1" applyFill="1" applyBorder="1" applyAlignment="1">
      <alignment vertical="center" wrapText="1"/>
    </xf>
    <xf numFmtId="0" fontId="0" fillId="0" borderId="31" xfId="0" applyFill="1" applyBorder="1" applyAlignment="1">
      <alignment vertical="center" wrapText="1"/>
    </xf>
    <xf numFmtId="0" fontId="0" fillId="6" borderId="31" xfId="0" applyFill="1" applyBorder="1" applyAlignment="1">
      <alignment vertical="center" wrapText="1"/>
    </xf>
    <xf numFmtId="0" fontId="1" fillId="0" borderId="31" xfId="0" applyFont="1" applyFill="1" applyBorder="1" applyAlignment="1">
      <alignment vertical="center" wrapText="1"/>
    </xf>
    <xf numFmtId="0" fontId="0" fillId="0" borderId="40" xfId="0" applyFill="1" applyBorder="1" applyAlignment="1">
      <alignment vertical="center" wrapText="1"/>
    </xf>
    <xf numFmtId="0" fontId="0" fillId="0" borderId="28" xfId="0" applyFill="1" applyBorder="1" applyAlignment="1">
      <alignment vertical="center" wrapText="1"/>
    </xf>
    <xf numFmtId="0" fontId="0" fillId="0" borderId="15" xfId="0" applyFill="1" applyBorder="1" applyAlignment="1">
      <alignment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5" borderId="9" xfId="0" applyFill="1" applyBorder="1" applyAlignment="1">
      <alignment horizontal="left" vertical="center"/>
    </xf>
    <xf numFmtId="0" fontId="0" fillId="5" borderId="1" xfId="0" applyFill="1" applyBorder="1" applyAlignment="1">
      <alignment horizontal="left" vertical="center"/>
    </xf>
    <xf numFmtId="0" fontId="0" fillId="5" borderId="10" xfId="0" applyFill="1" applyBorder="1" applyAlignment="1">
      <alignment horizontal="left" vertical="center"/>
    </xf>
    <xf numFmtId="0" fontId="0" fillId="5" borderId="9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vertical="center" wrapText="1"/>
    </xf>
    <xf numFmtId="0" fontId="0" fillId="5" borderId="10" xfId="0" applyFill="1" applyBorder="1" applyAlignment="1">
      <alignment horizontal="left" vertical="center" wrapText="1"/>
    </xf>
    <xf numFmtId="0" fontId="0" fillId="5" borderId="11" xfId="0" applyFill="1" applyBorder="1" applyAlignment="1">
      <alignment horizontal="left" vertical="center"/>
    </xf>
    <xf numFmtId="0" fontId="0" fillId="5" borderId="2" xfId="0" applyFill="1" applyBorder="1" applyAlignment="1">
      <alignment horizontal="left" vertical="center"/>
    </xf>
    <xf numFmtId="0" fontId="0" fillId="5" borderId="12" xfId="0" applyFill="1" applyBorder="1" applyAlignment="1">
      <alignment horizontal="left" vertical="center"/>
    </xf>
    <xf numFmtId="0" fontId="0" fillId="5" borderId="7" xfId="0" applyFill="1" applyBorder="1" applyAlignment="1">
      <alignment horizontal="left" vertical="center"/>
    </xf>
    <xf numFmtId="0" fontId="0" fillId="5" borderId="0" xfId="0" applyFill="1" applyBorder="1" applyAlignment="1">
      <alignment horizontal="left" vertical="center"/>
    </xf>
    <xf numFmtId="0" fontId="0" fillId="5" borderId="8" xfId="0" applyFill="1" applyBorder="1" applyAlignment="1">
      <alignment horizontal="left" vertical="center"/>
    </xf>
    <xf numFmtId="0" fontId="0" fillId="5" borderId="7" xfId="0" applyFill="1" applyBorder="1" applyAlignment="1">
      <alignment horizontal="left" vertical="center" wrapText="1"/>
    </xf>
    <xf numFmtId="0" fontId="0" fillId="5" borderId="0" xfId="0" applyFill="1" applyBorder="1" applyAlignment="1">
      <alignment horizontal="left" vertical="center" wrapText="1"/>
    </xf>
    <xf numFmtId="0" fontId="0" fillId="5" borderId="8" xfId="0" applyFill="1" applyBorder="1" applyAlignment="1">
      <alignment horizontal="left" vertical="center" wrapText="1"/>
    </xf>
    <xf numFmtId="0" fontId="0" fillId="5" borderId="21" xfId="0" applyFill="1" applyBorder="1" applyAlignment="1">
      <alignment horizontal="left" vertical="center" wrapText="1"/>
    </xf>
    <xf numFmtId="0" fontId="0" fillId="5" borderId="5" xfId="0" applyFill="1" applyBorder="1" applyAlignment="1">
      <alignment horizontal="left" vertical="center" wrapText="1"/>
    </xf>
    <xf numFmtId="0" fontId="0" fillId="5" borderId="22" xfId="0" applyFill="1" applyBorder="1" applyAlignment="1">
      <alignment horizontal="left" vertical="center" wrapText="1"/>
    </xf>
    <xf numFmtId="0" fontId="0" fillId="5" borderId="13" xfId="0" applyFill="1" applyBorder="1" applyAlignment="1">
      <alignment horizontal="left" vertical="center" wrapText="1"/>
    </xf>
    <xf numFmtId="0" fontId="0" fillId="5" borderId="3" xfId="0" applyFill="1" applyBorder="1" applyAlignment="1">
      <alignment horizontal="left" vertical="center" wrapText="1"/>
    </xf>
    <xf numFmtId="0" fontId="0" fillId="5" borderId="14" xfId="0" applyFill="1" applyBorder="1" applyAlignment="1">
      <alignment horizontal="left" vertical="center" wrapText="1"/>
    </xf>
    <xf numFmtId="0" fontId="0" fillId="5" borderId="18" xfId="0" applyFill="1" applyBorder="1" applyAlignment="1">
      <alignment horizontal="left" vertical="center" wrapText="1"/>
    </xf>
    <xf numFmtId="0" fontId="0" fillId="5" borderId="19" xfId="0" applyFill="1" applyBorder="1" applyAlignment="1">
      <alignment horizontal="left" vertical="center" wrapText="1"/>
    </xf>
    <xf numFmtId="0" fontId="0" fillId="5" borderId="20" xfId="0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9" fillId="0" borderId="27" xfId="0" applyFont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Medium9"/>
  <colors>
    <mruColors>
      <color rgb="FFFFFFCC"/>
      <color rgb="FFFFFF66"/>
      <color rgb="FFFFFF00"/>
      <color rgb="FF66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53"/>
  <sheetViews>
    <sheetView tabSelected="1" topLeftCell="A3" workbookViewId="0">
      <selection activeCell="D27" sqref="D27"/>
    </sheetView>
  </sheetViews>
  <sheetFormatPr baseColWidth="10" defaultColWidth="9.140625" defaultRowHeight="15" x14ac:dyDescent="0.25"/>
  <cols>
    <col min="1" max="1" width="9.140625" style="2"/>
    <col min="2" max="2" width="50" style="5" customWidth="1"/>
    <col min="3" max="3" width="12.7109375" style="3" customWidth="1"/>
    <col min="4" max="4" width="44.85546875" style="4" customWidth="1"/>
    <col min="5" max="5" width="36.85546875" style="5" customWidth="1"/>
    <col min="6" max="6" width="11.5703125" style="2" bestFit="1" customWidth="1"/>
    <col min="7" max="7" width="12.85546875" style="2" customWidth="1"/>
    <col min="8" max="8" width="11.28515625" style="2" bestFit="1" customWidth="1"/>
    <col min="9" max="9" width="13" style="2" bestFit="1" customWidth="1"/>
    <col min="10" max="10" width="9.7109375" style="2" bestFit="1" customWidth="1"/>
    <col min="11" max="16384" width="9.140625" style="2"/>
  </cols>
  <sheetData>
    <row r="1" spans="2:7" hidden="1" x14ac:dyDescent="0.25"/>
    <row r="2" spans="2:7" ht="15.75" hidden="1" customHeight="1" x14ac:dyDescent="0.25">
      <c r="B2" s="88" t="s">
        <v>68</v>
      </c>
      <c r="C2" s="89"/>
      <c r="D2" s="89"/>
      <c r="E2" s="89"/>
      <c r="F2" s="89"/>
      <c r="G2" s="90"/>
    </row>
    <row r="3" spans="2:7" ht="21.75" thickBot="1" x14ac:dyDescent="0.3">
      <c r="B3" s="120" t="s">
        <v>163</v>
      </c>
      <c r="C3" s="120"/>
      <c r="D3" s="120"/>
      <c r="E3" s="120"/>
      <c r="F3" s="120"/>
      <c r="G3" s="120"/>
    </row>
    <row r="4" spans="2:7" ht="16.5" hidden="1" thickBot="1" x14ac:dyDescent="0.3">
      <c r="B4" s="91" t="s">
        <v>64</v>
      </c>
      <c r="C4" s="92"/>
      <c r="D4" s="92"/>
      <c r="E4" s="92"/>
      <c r="F4" s="92"/>
      <c r="G4" s="93"/>
    </row>
    <row r="5" spans="2:7" hidden="1" x14ac:dyDescent="0.25">
      <c r="B5" s="78" t="s">
        <v>65</v>
      </c>
      <c r="C5" s="6"/>
      <c r="D5" s="7"/>
      <c r="E5" s="8"/>
      <c r="F5" s="9"/>
      <c r="G5" s="10"/>
    </row>
    <row r="6" spans="2:7" ht="15.75" hidden="1" x14ac:dyDescent="0.25">
      <c r="B6" s="95" t="s">
        <v>66</v>
      </c>
      <c r="C6" s="96"/>
      <c r="D6" s="96"/>
      <c r="E6" s="96"/>
      <c r="F6" s="96"/>
      <c r="G6" s="97"/>
    </row>
    <row r="7" spans="2:7" hidden="1" x14ac:dyDescent="0.25">
      <c r="B7" s="98" t="s">
        <v>75</v>
      </c>
      <c r="C7" s="99"/>
      <c r="D7" s="99"/>
      <c r="E7" s="99"/>
      <c r="F7" s="99"/>
      <c r="G7" s="100"/>
    </row>
    <row r="8" spans="2:7" ht="15.75" hidden="1" x14ac:dyDescent="0.25">
      <c r="B8" s="101" t="s">
        <v>67</v>
      </c>
      <c r="C8" s="102"/>
      <c r="D8" s="102"/>
      <c r="E8" s="102"/>
      <c r="F8" s="102"/>
      <c r="G8" s="103"/>
    </row>
    <row r="9" spans="2:7" hidden="1" x14ac:dyDescent="0.25">
      <c r="B9" s="104" t="s">
        <v>69</v>
      </c>
      <c r="C9" s="105"/>
      <c r="D9" s="105"/>
      <c r="E9" s="105"/>
      <c r="F9" s="105"/>
      <c r="G9" s="106"/>
    </row>
    <row r="10" spans="2:7" hidden="1" x14ac:dyDescent="0.25">
      <c r="B10" s="104" t="s">
        <v>70</v>
      </c>
      <c r="C10" s="105"/>
      <c r="D10" s="105"/>
      <c r="E10" s="105"/>
      <c r="F10" s="105"/>
      <c r="G10" s="106"/>
    </row>
    <row r="11" spans="2:7" hidden="1" x14ac:dyDescent="0.25">
      <c r="B11" s="107" t="s">
        <v>71</v>
      </c>
      <c r="C11" s="108"/>
      <c r="D11" s="108"/>
      <c r="E11" s="108"/>
      <c r="F11" s="108"/>
      <c r="G11" s="109"/>
    </row>
    <row r="12" spans="2:7" hidden="1" x14ac:dyDescent="0.25">
      <c r="B12" s="107" t="s">
        <v>72</v>
      </c>
      <c r="C12" s="108"/>
      <c r="D12" s="108"/>
      <c r="E12" s="108"/>
      <c r="F12" s="108"/>
      <c r="G12" s="109"/>
    </row>
    <row r="13" spans="2:7" hidden="1" x14ac:dyDescent="0.25">
      <c r="B13" s="113" t="s">
        <v>76</v>
      </c>
      <c r="C13" s="114"/>
      <c r="D13" s="114"/>
      <c r="E13" s="114"/>
      <c r="F13" s="114"/>
      <c r="G13" s="115"/>
    </row>
    <row r="14" spans="2:7" hidden="1" x14ac:dyDescent="0.25">
      <c r="B14" s="110" t="s">
        <v>74</v>
      </c>
      <c r="C14" s="111"/>
      <c r="D14" s="111"/>
      <c r="E14" s="111"/>
      <c r="F14" s="111"/>
      <c r="G14" s="112"/>
    </row>
    <row r="15" spans="2:7" ht="15.75" hidden="1" thickBot="1" x14ac:dyDescent="0.3">
      <c r="B15" s="116" t="s">
        <v>73</v>
      </c>
      <c r="C15" s="117"/>
      <c r="D15" s="117"/>
      <c r="E15" s="117"/>
      <c r="F15" s="117"/>
      <c r="G15" s="118"/>
    </row>
    <row r="16" spans="2:7" ht="7.5" customHeight="1" x14ac:dyDescent="0.25">
      <c r="B16" s="119"/>
      <c r="C16" s="119"/>
      <c r="D16" s="119"/>
      <c r="E16" s="119"/>
      <c r="F16" s="119"/>
      <c r="G16" s="119"/>
    </row>
    <row r="17" spans="2:10" ht="18.75" x14ac:dyDescent="0.25">
      <c r="B17" s="94" t="s">
        <v>230</v>
      </c>
      <c r="C17" s="94"/>
      <c r="D17" s="94"/>
      <c r="E17" s="94"/>
      <c r="F17" s="94"/>
      <c r="G17" s="94"/>
    </row>
    <row r="18" spans="2:10" ht="7.5" customHeight="1" thickBot="1" x14ac:dyDescent="0.3"/>
    <row r="19" spans="2:10" s="1" customFormat="1" ht="33" thickTop="1" thickBot="1" x14ac:dyDescent="0.3">
      <c r="B19" s="79" t="s">
        <v>58</v>
      </c>
      <c r="C19" s="57" t="s">
        <v>59</v>
      </c>
      <c r="D19" s="58" t="s">
        <v>60</v>
      </c>
      <c r="E19" s="58" t="s">
        <v>61</v>
      </c>
      <c r="F19" s="58" t="s">
        <v>62</v>
      </c>
      <c r="G19" s="59" t="s">
        <v>63</v>
      </c>
    </row>
    <row r="20" spans="2:10" s="22" customFormat="1" ht="32.25" thickTop="1" x14ac:dyDescent="0.25">
      <c r="B20" s="80" t="s">
        <v>57</v>
      </c>
      <c r="C20" s="52"/>
      <c r="D20" s="53"/>
      <c r="E20" s="54"/>
      <c r="F20" s="55"/>
      <c r="G20" s="56">
        <f>+G21+G170+G188+G192+G205+G207+G221+G231+G236</f>
        <v>3627364.81715236</v>
      </c>
      <c r="H20" s="21"/>
      <c r="I20" s="21"/>
      <c r="J20" s="21"/>
    </row>
    <row r="21" spans="2:10" s="23" customFormat="1" x14ac:dyDescent="0.25">
      <c r="B21" s="81" t="s">
        <v>0</v>
      </c>
      <c r="C21" s="60"/>
      <c r="D21" s="61"/>
      <c r="E21" s="62"/>
      <c r="F21" s="63"/>
      <c r="G21" s="64">
        <f>SUM(G22:G169)</f>
        <v>1867519.2355523603</v>
      </c>
    </row>
    <row r="22" spans="2:10" s="24" customFormat="1" hidden="1" x14ac:dyDescent="0.25">
      <c r="B22" s="82" t="s">
        <v>1</v>
      </c>
      <c r="C22" s="12">
        <v>0</v>
      </c>
      <c r="D22" s="11"/>
      <c r="E22" s="13"/>
      <c r="F22" s="14">
        <v>0</v>
      </c>
      <c r="G22" s="46">
        <f>+C22*F22</f>
        <v>0</v>
      </c>
    </row>
    <row r="23" spans="2:10" s="24" customFormat="1" hidden="1" x14ac:dyDescent="0.25">
      <c r="B23" s="82" t="s">
        <v>1</v>
      </c>
      <c r="C23" s="12">
        <v>0</v>
      </c>
      <c r="D23" s="11"/>
      <c r="E23" s="13"/>
      <c r="F23" s="14">
        <v>0</v>
      </c>
      <c r="G23" s="46">
        <f t="shared" ref="G23:G161" si="0">+C23*F23</f>
        <v>0</v>
      </c>
    </row>
    <row r="24" spans="2:10" s="24" customFormat="1" hidden="1" x14ac:dyDescent="0.25">
      <c r="B24" s="82" t="s">
        <v>1</v>
      </c>
      <c r="C24" s="12">
        <v>0</v>
      </c>
      <c r="D24" s="11"/>
      <c r="E24" s="13"/>
      <c r="F24" s="14">
        <v>0</v>
      </c>
      <c r="G24" s="46">
        <f t="shared" si="0"/>
        <v>0</v>
      </c>
    </row>
    <row r="25" spans="2:10" s="24" customFormat="1" x14ac:dyDescent="0.25">
      <c r="B25" s="82" t="s">
        <v>1</v>
      </c>
      <c r="C25" s="11">
        <v>1</v>
      </c>
      <c r="D25" s="11" t="s">
        <v>92</v>
      </c>
      <c r="E25" s="13" t="s">
        <v>111</v>
      </c>
      <c r="F25" s="16">
        <v>989.09719999999993</v>
      </c>
      <c r="G25" s="47">
        <f t="shared" si="0"/>
        <v>989.09719999999993</v>
      </c>
    </row>
    <row r="26" spans="2:10" s="24" customFormat="1" ht="30" x14ac:dyDescent="0.25">
      <c r="B26" s="82" t="s">
        <v>1</v>
      </c>
      <c r="C26" s="11">
        <v>10</v>
      </c>
      <c r="D26" s="11" t="s">
        <v>93</v>
      </c>
      <c r="E26" s="13" t="s">
        <v>112</v>
      </c>
      <c r="F26" s="16">
        <v>469.99719999999996</v>
      </c>
      <c r="G26" s="47">
        <f t="shared" si="0"/>
        <v>4699.9719999999998</v>
      </c>
    </row>
    <row r="27" spans="2:10" s="24" customFormat="1" ht="45" x14ac:dyDescent="0.25">
      <c r="B27" s="82" t="s">
        <v>1</v>
      </c>
      <c r="C27" s="11">
        <v>1</v>
      </c>
      <c r="D27" s="11" t="s">
        <v>94</v>
      </c>
      <c r="E27" s="13" t="s">
        <v>113</v>
      </c>
      <c r="F27" s="17">
        <v>9550.0015999999996</v>
      </c>
      <c r="G27" s="47">
        <f t="shared" si="0"/>
        <v>9550.0015999999996</v>
      </c>
    </row>
    <row r="28" spans="2:10" s="24" customFormat="1" ht="30" x14ac:dyDescent="0.25">
      <c r="B28" s="82" t="s">
        <v>1</v>
      </c>
      <c r="C28" s="11">
        <v>1</v>
      </c>
      <c r="D28" s="11" t="s">
        <v>95</v>
      </c>
      <c r="E28" s="13" t="s">
        <v>113</v>
      </c>
      <c r="F28" s="16">
        <v>1860.002</v>
      </c>
      <c r="G28" s="47">
        <f t="shared" si="0"/>
        <v>1860.002</v>
      </c>
    </row>
    <row r="29" spans="2:10" s="24" customFormat="1" ht="125.25" customHeight="1" x14ac:dyDescent="0.25">
      <c r="B29" s="82" t="s">
        <v>1</v>
      </c>
      <c r="C29" s="11">
        <v>3</v>
      </c>
      <c r="D29" s="11" t="s">
        <v>96</v>
      </c>
      <c r="E29" s="13" t="s">
        <v>114</v>
      </c>
      <c r="F29" s="16">
        <v>14821.598399999999</v>
      </c>
      <c r="G29" s="47">
        <f>+C29*F29-2.26</f>
        <v>44462.535199999991</v>
      </c>
    </row>
    <row r="30" spans="2:10" s="24" customFormat="1" ht="30" x14ac:dyDescent="0.25">
      <c r="B30" s="82" t="s">
        <v>1</v>
      </c>
      <c r="C30" s="11">
        <v>3</v>
      </c>
      <c r="D30" s="11" t="s">
        <v>97</v>
      </c>
      <c r="E30" s="13" t="s">
        <v>114</v>
      </c>
      <c r="F30" s="16">
        <v>2289.2019999999998</v>
      </c>
      <c r="G30" s="47">
        <f t="shared" si="0"/>
        <v>6867.6059999999998</v>
      </c>
    </row>
    <row r="31" spans="2:10" s="24" customFormat="1" x14ac:dyDescent="0.25">
      <c r="B31" s="82" t="s">
        <v>1</v>
      </c>
      <c r="C31" s="11">
        <v>20</v>
      </c>
      <c r="D31" s="11" t="s">
        <v>98</v>
      </c>
      <c r="E31" s="13" t="s">
        <v>115</v>
      </c>
      <c r="F31" s="16">
        <v>455.97279999999995</v>
      </c>
      <c r="G31" s="47">
        <f t="shared" si="0"/>
        <v>9119.4559999999983</v>
      </c>
    </row>
    <row r="32" spans="2:10" s="24" customFormat="1" ht="30" x14ac:dyDescent="0.25">
      <c r="B32" s="82" t="s">
        <v>1</v>
      </c>
      <c r="C32" s="11">
        <v>1</v>
      </c>
      <c r="D32" s="11" t="s">
        <v>99</v>
      </c>
      <c r="E32" s="13" t="s">
        <v>114</v>
      </c>
      <c r="F32" s="16">
        <v>4966.4007999999994</v>
      </c>
      <c r="G32" s="47">
        <f t="shared" si="0"/>
        <v>4966.4007999999994</v>
      </c>
    </row>
    <row r="33" spans="2:7" s="24" customFormat="1" ht="30" x14ac:dyDescent="0.25">
      <c r="B33" s="82" t="s">
        <v>1</v>
      </c>
      <c r="C33" s="11">
        <v>8</v>
      </c>
      <c r="D33" s="11" t="s">
        <v>100</v>
      </c>
      <c r="E33" s="13" t="s">
        <v>114</v>
      </c>
      <c r="F33" s="16">
        <v>1280.3963999999999</v>
      </c>
      <c r="G33" s="47">
        <f t="shared" si="0"/>
        <v>10243.171199999999</v>
      </c>
    </row>
    <row r="34" spans="2:7" s="24" customFormat="1" ht="30" x14ac:dyDescent="0.25">
      <c r="B34" s="82" t="s">
        <v>1</v>
      </c>
      <c r="C34" s="11">
        <v>1</v>
      </c>
      <c r="D34" s="11" t="s">
        <v>101</v>
      </c>
      <c r="E34" s="13" t="s">
        <v>116</v>
      </c>
      <c r="F34" s="16">
        <v>2832.3951999999995</v>
      </c>
      <c r="G34" s="47">
        <f t="shared" si="0"/>
        <v>2832.3951999999995</v>
      </c>
    </row>
    <row r="35" spans="2:7" s="24" customFormat="1" ht="30" x14ac:dyDescent="0.25">
      <c r="B35" s="82" t="s">
        <v>1</v>
      </c>
      <c r="C35" s="11">
        <v>4</v>
      </c>
      <c r="D35" s="11" t="s">
        <v>102</v>
      </c>
      <c r="E35" s="13" t="s">
        <v>116</v>
      </c>
      <c r="F35" s="16">
        <v>1280.3963999999999</v>
      </c>
      <c r="G35" s="47">
        <f>+C35*F35+0.01</f>
        <v>5121.5955999999996</v>
      </c>
    </row>
    <row r="36" spans="2:7" s="24" customFormat="1" ht="87" customHeight="1" x14ac:dyDescent="0.25">
      <c r="B36" s="82" t="s">
        <v>1</v>
      </c>
      <c r="C36" s="11">
        <v>7</v>
      </c>
      <c r="D36" s="11" t="s">
        <v>103</v>
      </c>
      <c r="E36" s="13" t="s">
        <v>117</v>
      </c>
      <c r="F36" s="16">
        <v>5858.8003999999992</v>
      </c>
      <c r="G36" s="47">
        <f t="shared" si="0"/>
        <v>41011.602799999993</v>
      </c>
    </row>
    <row r="37" spans="2:7" s="24" customFormat="1" ht="105" customHeight="1" x14ac:dyDescent="0.25">
      <c r="B37" s="82" t="s">
        <v>1</v>
      </c>
      <c r="C37" s="11">
        <v>4</v>
      </c>
      <c r="D37" s="11" t="s">
        <v>104</v>
      </c>
      <c r="E37" s="13" t="s">
        <v>168</v>
      </c>
      <c r="F37" s="16">
        <v>4995.5051999999996</v>
      </c>
      <c r="G37" s="47">
        <f t="shared" si="0"/>
        <v>19982.020799999998</v>
      </c>
    </row>
    <row r="38" spans="2:7" s="24" customFormat="1" ht="30" x14ac:dyDescent="0.25">
      <c r="B38" s="82" t="s">
        <v>1</v>
      </c>
      <c r="C38" s="11">
        <v>9</v>
      </c>
      <c r="D38" s="11" t="s">
        <v>105</v>
      </c>
      <c r="E38" s="13" t="s">
        <v>117</v>
      </c>
      <c r="F38" s="16">
        <v>2114.5987999999998</v>
      </c>
      <c r="G38" s="47">
        <f t="shared" si="0"/>
        <v>19031.389199999998</v>
      </c>
    </row>
    <row r="39" spans="2:7" s="24" customFormat="1" ht="30" x14ac:dyDescent="0.25">
      <c r="B39" s="82" t="s">
        <v>1</v>
      </c>
      <c r="C39" s="11">
        <v>2</v>
      </c>
      <c r="D39" s="11" t="s">
        <v>106</v>
      </c>
      <c r="E39" s="13" t="s">
        <v>90</v>
      </c>
      <c r="F39" s="16">
        <v>1988.4951999999998</v>
      </c>
      <c r="G39" s="47">
        <f t="shared" si="0"/>
        <v>3976.9903999999997</v>
      </c>
    </row>
    <row r="40" spans="2:7" s="24" customFormat="1" ht="45" x14ac:dyDescent="0.25">
      <c r="B40" s="82" t="s">
        <v>1</v>
      </c>
      <c r="C40" s="11">
        <v>7</v>
      </c>
      <c r="D40" s="11" t="s">
        <v>107</v>
      </c>
      <c r="E40" s="13" t="s">
        <v>118</v>
      </c>
      <c r="F40" s="16">
        <v>2570.5019999999995</v>
      </c>
      <c r="G40" s="47">
        <f t="shared" si="0"/>
        <v>17993.513999999996</v>
      </c>
    </row>
    <row r="41" spans="2:7" s="24" customFormat="1" ht="30" x14ac:dyDescent="0.25">
      <c r="B41" s="82" t="s">
        <v>1</v>
      </c>
      <c r="C41" s="11">
        <v>7</v>
      </c>
      <c r="D41" s="11" t="s">
        <v>108</v>
      </c>
      <c r="E41" s="13" t="s">
        <v>118</v>
      </c>
      <c r="F41" s="16">
        <v>669.29679999999996</v>
      </c>
      <c r="G41" s="47">
        <f t="shared" si="0"/>
        <v>4685.0775999999996</v>
      </c>
    </row>
    <row r="42" spans="2:7" s="24" customFormat="1" ht="30" x14ac:dyDescent="0.25">
      <c r="B42" s="82" t="s">
        <v>1</v>
      </c>
      <c r="C42" s="11">
        <v>1</v>
      </c>
      <c r="D42" s="11" t="s">
        <v>109</v>
      </c>
      <c r="E42" s="13" t="s">
        <v>90</v>
      </c>
      <c r="F42" s="16">
        <v>1542.2779999999998</v>
      </c>
      <c r="G42" s="47">
        <f t="shared" si="0"/>
        <v>1542.2779999999998</v>
      </c>
    </row>
    <row r="43" spans="2:7" s="24" customFormat="1" ht="30" x14ac:dyDescent="0.25">
      <c r="B43" s="82" t="s">
        <v>1</v>
      </c>
      <c r="C43" s="11">
        <v>1</v>
      </c>
      <c r="D43" s="11" t="s">
        <v>110</v>
      </c>
      <c r="E43" s="13" t="s">
        <v>81</v>
      </c>
      <c r="F43" s="16">
        <v>2064.6956</v>
      </c>
      <c r="G43" s="47">
        <f t="shared" si="0"/>
        <v>2064.6956</v>
      </c>
    </row>
    <row r="44" spans="2:7" s="24" customFormat="1" ht="30" x14ac:dyDescent="0.25">
      <c r="B44" s="82" t="s">
        <v>1</v>
      </c>
      <c r="C44" s="11">
        <v>8</v>
      </c>
      <c r="D44" s="11" t="s">
        <v>121</v>
      </c>
      <c r="E44" s="13" t="s">
        <v>134</v>
      </c>
      <c r="F44" s="16">
        <f>1170*1.16</f>
        <v>1357.1999999999998</v>
      </c>
      <c r="G44" s="47">
        <f t="shared" si="0"/>
        <v>10857.599999999999</v>
      </c>
    </row>
    <row r="45" spans="2:7" s="24" customFormat="1" ht="30" x14ac:dyDescent="0.25">
      <c r="B45" s="82" t="s">
        <v>1</v>
      </c>
      <c r="C45" s="11">
        <v>6</v>
      </c>
      <c r="D45" s="11" t="s">
        <v>122</v>
      </c>
      <c r="E45" s="13" t="s">
        <v>136</v>
      </c>
      <c r="F45" s="16">
        <f>3310*1.16</f>
        <v>3839.6</v>
      </c>
      <c r="G45" s="47">
        <f t="shared" si="0"/>
        <v>23037.599999999999</v>
      </c>
    </row>
    <row r="46" spans="2:7" s="24" customFormat="1" ht="30" x14ac:dyDescent="0.25">
      <c r="B46" s="82" t="s">
        <v>1</v>
      </c>
      <c r="C46" s="11">
        <v>6</v>
      </c>
      <c r="D46" s="11" t="s">
        <v>123</v>
      </c>
      <c r="E46" s="13" t="s">
        <v>135</v>
      </c>
      <c r="F46" s="16">
        <f>2440*1.16</f>
        <v>2830.3999999999996</v>
      </c>
      <c r="G46" s="47">
        <f t="shared" si="0"/>
        <v>16982.399999999998</v>
      </c>
    </row>
    <row r="47" spans="2:7" s="24" customFormat="1" ht="30" x14ac:dyDescent="0.25">
      <c r="B47" s="82" t="s">
        <v>1</v>
      </c>
      <c r="C47" s="11">
        <v>1</v>
      </c>
      <c r="D47" s="11" t="s">
        <v>124</v>
      </c>
      <c r="E47" s="13" t="s">
        <v>137</v>
      </c>
      <c r="F47" s="16">
        <f>2500*1.16</f>
        <v>2900</v>
      </c>
      <c r="G47" s="47">
        <f t="shared" si="0"/>
        <v>2900</v>
      </c>
    </row>
    <row r="48" spans="2:7" s="24" customFormat="1" ht="30" x14ac:dyDescent="0.25">
      <c r="B48" s="82" t="s">
        <v>1</v>
      </c>
      <c r="C48" s="11">
        <v>1</v>
      </c>
      <c r="D48" s="11" t="s">
        <v>125</v>
      </c>
      <c r="E48" s="13" t="s">
        <v>138</v>
      </c>
      <c r="F48" s="16">
        <f>1460*1.16</f>
        <v>1693.6</v>
      </c>
      <c r="G48" s="47">
        <f t="shared" si="0"/>
        <v>1693.6</v>
      </c>
    </row>
    <row r="49" spans="2:7" s="24" customFormat="1" ht="30" x14ac:dyDescent="0.25">
      <c r="B49" s="82" t="s">
        <v>1</v>
      </c>
      <c r="C49" s="11">
        <v>1</v>
      </c>
      <c r="D49" s="11" t="s">
        <v>126</v>
      </c>
      <c r="E49" s="13" t="s">
        <v>138</v>
      </c>
      <c r="F49" s="16">
        <f>1180*1.16</f>
        <v>1368.8</v>
      </c>
      <c r="G49" s="47">
        <f t="shared" si="0"/>
        <v>1368.8</v>
      </c>
    </row>
    <row r="50" spans="2:7" s="24" customFormat="1" ht="45" x14ac:dyDescent="0.25">
      <c r="B50" s="82" t="s">
        <v>1</v>
      </c>
      <c r="C50" s="11">
        <v>1</v>
      </c>
      <c r="D50" s="11" t="s">
        <v>127</v>
      </c>
      <c r="E50" s="13" t="s">
        <v>139</v>
      </c>
      <c r="F50" s="16">
        <f>2730*1.16</f>
        <v>3166.7999999999997</v>
      </c>
      <c r="G50" s="47">
        <f t="shared" si="0"/>
        <v>3166.7999999999997</v>
      </c>
    </row>
    <row r="51" spans="2:7" s="24" customFormat="1" ht="45" x14ac:dyDescent="0.25">
      <c r="B51" s="82" t="s">
        <v>1</v>
      </c>
      <c r="C51" s="11">
        <v>1</v>
      </c>
      <c r="D51" s="11" t="s">
        <v>128</v>
      </c>
      <c r="E51" s="13" t="s">
        <v>139</v>
      </c>
      <c r="F51" s="16">
        <f>3450*1.16</f>
        <v>4001.9999999999995</v>
      </c>
      <c r="G51" s="47">
        <f t="shared" si="0"/>
        <v>4001.9999999999995</v>
      </c>
    </row>
    <row r="52" spans="2:7" s="24" customFormat="1" ht="45" x14ac:dyDescent="0.25">
      <c r="B52" s="82" t="s">
        <v>1</v>
      </c>
      <c r="C52" s="11">
        <v>1</v>
      </c>
      <c r="D52" s="11" t="s">
        <v>129</v>
      </c>
      <c r="E52" s="13" t="s">
        <v>139</v>
      </c>
      <c r="F52" s="16">
        <f>4339.99*1.16</f>
        <v>5034.3883999999998</v>
      </c>
      <c r="G52" s="47">
        <f t="shared" si="0"/>
        <v>5034.3883999999998</v>
      </c>
    </row>
    <row r="53" spans="2:7" s="24" customFormat="1" ht="30" x14ac:dyDescent="0.25">
      <c r="B53" s="82" t="s">
        <v>1</v>
      </c>
      <c r="C53" s="11">
        <v>1</v>
      </c>
      <c r="D53" s="11" t="s">
        <v>130</v>
      </c>
      <c r="E53" s="13" t="s">
        <v>140</v>
      </c>
      <c r="F53" s="16">
        <f>4790.35*1.16</f>
        <v>5556.8059999999996</v>
      </c>
      <c r="G53" s="47">
        <f t="shared" si="0"/>
        <v>5556.8059999999996</v>
      </c>
    </row>
    <row r="54" spans="2:7" s="24" customFormat="1" ht="30" x14ac:dyDescent="0.25">
      <c r="B54" s="82" t="s">
        <v>1</v>
      </c>
      <c r="C54" s="11">
        <v>4</v>
      </c>
      <c r="D54" s="11" t="s">
        <v>131</v>
      </c>
      <c r="E54" s="13" t="s">
        <v>134</v>
      </c>
      <c r="F54" s="16">
        <f>750*1.16</f>
        <v>869.99999999999989</v>
      </c>
      <c r="G54" s="47">
        <f t="shared" si="0"/>
        <v>3479.9999999999995</v>
      </c>
    </row>
    <row r="55" spans="2:7" s="24" customFormat="1" ht="30" x14ac:dyDescent="0.25">
      <c r="B55" s="82" t="s">
        <v>1</v>
      </c>
      <c r="C55" s="11">
        <v>1</v>
      </c>
      <c r="D55" s="11" t="s">
        <v>110</v>
      </c>
      <c r="E55" s="13" t="s">
        <v>141</v>
      </c>
      <c r="F55" s="16">
        <f>1784.48*1.16</f>
        <v>2069.9967999999999</v>
      </c>
      <c r="G55" s="47">
        <f t="shared" si="0"/>
        <v>2069.9967999999999</v>
      </c>
    </row>
    <row r="56" spans="2:7" s="24" customFormat="1" ht="45" x14ac:dyDescent="0.25">
      <c r="B56" s="82" t="s">
        <v>1</v>
      </c>
      <c r="C56" s="11">
        <v>1</v>
      </c>
      <c r="D56" s="11" t="s">
        <v>132</v>
      </c>
      <c r="E56" s="13" t="s">
        <v>141</v>
      </c>
      <c r="F56" s="16">
        <f>2458.9*1.16</f>
        <v>2852.3240000000001</v>
      </c>
      <c r="G56" s="47">
        <f t="shared" si="0"/>
        <v>2852.3240000000001</v>
      </c>
    </row>
    <row r="57" spans="2:7" s="24" customFormat="1" ht="30" x14ac:dyDescent="0.25">
      <c r="B57" s="82" t="s">
        <v>1</v>
      </c>
      <c r="C57" s="11">
        <v>2</v>
      </c>
      <c r="D57" s="11" t="s">
        <v>133</v>
      </c>
      <c r="E57" s="13" t="s">
        <v>141</v>
      </c>
      <c r="F57" s="16">
        <f>1879.31*1.16</f>
        <v>2179.9995999999996</v>
      </c>
      <c r="G57" s="47">
        <f t="shared" si="0"/>
        <v>4359.9991999999993</v>
      </c>
    </row>
    <row r="58" spans="2:7" s="33" customFormat="1" ht="45" x14ac:dyDescent="0.25">
      <c r="B58" s="83" t="s">
        <v>1</v>
      </c>
      <c r="C58" s="34">
        <v>1</v>
      </c>
      <c r="D58" s="34" t="s">
        <v>164</v>
      </c>
      <c r="E58" s="32" t="s">
        <v>169</v>
      </c>
      <c r="F58" s="35">
        <v>2619.9876000000004</v>
      </c>
      <c r="G58" s="48">
        <f>F58*C58</f>
        <v>2619.9876000000004</v>
      </c>
    </row>
    <row r="59" spans="2:7" s="33" customFormat="1" ht="30" x14ac:dyDescent="0.25">
      <c r="B59" s="83" t="s">
        <v>1</v>
      </c>
      <c r="C59" s="34">
        <v>1</v>
      </c>
      <c r="D59" s="34" t="s">
        <v>165</v>
      </c>
      <c r="E59" s="32" t="s">
        <v>111</v>
      </c>
      <c r="F59" s="35">
        <v>4860.0055999999995</v>
      </c>
      <c r="G59" s="48">
        <f t="shared" ref="G59:G62" si="1">F59*C59</f>
        <v>4860.0055999999995</v>
      </c>
    </row>
    <row r="60" spans="2:7" s="33" customFormat="1" ht="93" customHeight="1" x14ac:dyDescent="0.25">
      <c r="B60" s="83" t="s">
        <v>1</v>
      </c>
      <c r="C60" s="34">
        <v>1</v>
      </c>
      <c r="D60" s="34" t="s">
        <v>104</v>
      </c>
      <c r="E60" s="32" t="s">
        <v>170</v>
      </c>
      <c r="F60" s="35">
        <v>5119.9964</v>
      </c>
      <c r="G60" s="48">
        <f t="shared" si="1"/>
        <v>5119.9964</v>
      </c>
    </row>
    <row r="61" spans="2:7" s="33" customFormat="1" ht="30" x14ac:dyDescent="0.25">
      <c r="B61" s="82" t="s">
        <v>1</v>
      </c>
      <c r="C61" s="11">
        <v>1</v>
      </c>
      <c r="D61" s="75" t="s">
        <v>166</v>
      </c>
      <c r="E61" s="13" t="s">
        <v>170</v>
      </c>
      <c r="F61" s="49">
        <v>1700.0032000000001</v>
      </c>
      <c r="G61" s="48">
        <f t="shared" si="1"/>
        <v>1700.0032000000001</v>
      </c>
    </row>
    <row r="62" spans="2:7" s="33" customFormat="1" ht="30" x14ac:dyDescent="0.25">
      <c r="B62" s="82" t="s">
        <v>1</v>
      </c>
      <c r="C62" s="11">
        <v>1</v>
      </c>
      <c r="D62" s="75" t="s">
        <v>167</v>
      </c>
      <c r="E62" s="13" t="s">
        <v>170</v>
      </c>
      <c r="F62" s="49">
        <v>4880.0039999999999</v>
      </c>
      <c r="G62" s="48">
        <f t="shared" si="1"/>
        <v>4880.0039999999999</v>
      </c>
    </row>
    <row r="63" spans="2:7" s="24" customFormat="1" hidden="1" x14ac:dyDescent="0.25">
      <c r="B63" s="82" t="s">
        <v>2</v>
      </c>
      <c r="C63" s="12">
        <v>0</v>
      </c>
      <c r="D63" s="11"/>
      <c r="E63" s="13"/>
      <c r="F63" s="15">
        <v>0</v>
      </c>
      <c r="G63" s="47">
        <f t="shared" si="0"/>
        <v>0</v>
      </c>
    </row>
    <row r="64" spans="2:7" s="24" customFormat="1" hidden="1" x14ac:dyDescent="0.25">
      <c r="B64" s="82" t="s">
        <v>3</v>
      </c>
      <c r="C64" s="12">
        <v>0</v>
      </c>
      <c r="D64" s="11"/>
      <c r="E64" s="13"/>
      <c r="F64" s="15">
        <v>0</v>
      </c>
      <c r="G64" s="47">
        <f t="shared" si="0"/>
        <v>0</v>
      </c>
    </row>
    <row r="65" spans="2:7" s="24" customFormat="1" hidden="1" x14ac:dyDescent="0.25">
      <c r="B65" s="82" t="s">
        <v>4</v>
      </c>
      <c r="C65" s="12">
        <v>0</v>
      </c>
      <c r="D65" s="11"/>
      <c r="E65" s="13"/>
      <c r="F65" s="15">
        <v>0</v>
      </c>
      <c r="G65" s="47">
        <f t="shared" si="0"/>
        <v>0</v>
      </c>
    </row>
    <row r="66" spans="2:7" s="24" customFormat="1" ht="30" x14ac:dyDescent="0.25">
      <c r="B66" s="82" t="s">
        <v>1</v>
      </c>
      <c r="C66" s="76">
        <v>1</v>
      </c>
      <c r="D66" s="77" t="s">
        <v>165</v>
      </c>
      <c r="E66" s="13" t="s">
        <v>136</v>
      </c>
      <c r="F66" s="15">
        <v>4869.9989999999998</v>
      </c>
      <c r="G66" s="47">
        <f>F66*C66</f>
        <v>4869.9989999999998</v>
      </c>
    </row>
    <row r="67" spans="2:7" s="24" customFormat="1" ht="30" x14ac:dyDescent="0.25">
      <c r="B67" s="82" t="s">
        <v>1</v>
      </c>
      <c r="C67" s="76">
        <v>2</v>
      </c>
      <c r="D67" s="77" t="s">
        <v>165</v>
      </c>
      <c r="E67" s="13" t="s">
        <v>136</v>
      </c>
      <c r="F67" s="15">
        <v>4870.0047999999997</v>
      </c>
      <c r="G67" s="47">
        <f t="shared" ref="G67:G111" si="2">F67*C67</f>
        <v>9740.0095999999994</v>
      </c>
    </row>
    <row r="68" spans="2:7" s="24" customFormat="1" ht="30" x14ac:dyDescent="0.25">
      <c r="B68" s="82" t="s">
        <v>1</v>
      </c>
      <c r="C68" s="76">
        <v>1</v>
      </c>
      <c r="D68" s="77" t="s">
        <v>203</v>
      </c>
      <c r="E68" s="13" t="s">
        <v>155</v>
      </c>
      <c r="F68" s="15">
        <v>2069.9991199999999</v>
      </c>
      <c r="G68" s="47">
        <f t="shared" si="2"/>
        <v>2069.9991199999999</v>
      </c>
    </row>
    <row r="69" spans="2:7" s="24" customFormat="1" ht="30" x14ac:dyDescent="0.25">
      <c r="B69" s="82" t="s">
        <v>1</v>
      </c>
      <c r="C69" s="76">
        <v>1</v>
      </c>
      <c r="D69" s="77" t="s">
        <v>165</v>
      </c>
      <c r="E69" s="13" t="s">
        <v>136</v>
      </c>
      <c r="F69" s="15">
        <v>4870.0047999999997</v>
      </c>
      <c r="G69" s="47">
        <f t="shared" si="2"/>
        <v>4870.0047999999997</v>
      </c>
    </row>
    <row r="70" spans="2:7" s="24" customFormat="1" ht="45" x14ac:dyDescent="0.25">
      <c r="B70" s="82" t="s">
        <v>1</v>
      </c>
      <c r="C70" s="76">
        <v>1</v>
      </c>
      <c r="D70" s="77" t="s">
        <v>204</v>
      </c>
      <c r="E70" s="13" t="s">
        <v>155</v>
      </c>
      <c r="F70" s="15">
        <v>2999.9989600000004</v>
      </c>
      <c r="G70" s="47">
        <f t="shared" si="2"/>
        <v>2999.9989600000004</v>
      </c>
    </row>
    <row r="71" spans="2:7" s="24" customFormat="1" ht="30" x14ac:dyDescent="0.25">
      <c r="B71" s="82" t="s">
        <v>1</v>
      </c>
      <c r="C71" s="76">
        <v>4</v>
      </c>
      <c r="D71" s="77" t="s">
        <v>205</v>
      </c>
      <c r="E71" s="13" t="s">
        <v>155</v>
      </c>
      <c r="F71" s="15">
        <v>449.99995999999999</v>
      </c>
      <c r="G71" s="47">
        <f t="shared" si="2"/>
        <v>1799.9998399999999</v>
      </c>
    </row>
    <row r="72" spans="2:7" s="24" customFormat="1" ht="30" x14ac:dyDescent="0.25">
      <c r="B72" s="82" t="s">
        <v>1</v>
      </c>
      <c r="C72" s="76">
        <v>2</v>
      </c>
      <c r="D72" s="77" t="s">
        <v>206</v>
      </c>
      <c r="E72" s="13" t="s">
        <v>207</v>
      </c>
      <c r="F72" s="15">
        <v>1799.9998399999999</v>
      </c>
      <c r="G72" s="47">
        <f t="shared" si="2"/>
        <v>3599.9996799999999</v>
      </c>
    </row>
    <row r="73" spans="2:7" s="24" customFormat="1" ht="30" x14ac:dyDescent="0.25">
      <c r="B73" s="82" t="s">
        <v>1</v>
      </c>
      <c r="C73" s="76">
        <v>1</v>
      </c>
      <c r="D73" s="77" t="s">
        <v>213</v>
      </c>
      <c r="E73" s="13" t="s">
        <v>215</v>
      </c>
      <c r="F73" s="15">
        <v>844</v>
      </c>
      <c r="G73" s="47">
        <f t="shared" si="2"/>
        <v>844</v>
      </c>
    </row>
    <row r="74" spans="2:7" s="24" customFormat="1" ht="45" x14ac:dyDescent="0.25">
      <c r="B74" s="82" t="s">
        <v>1</v>
      </c>
      <c r="C74" s="76">
        <v>6</v>
      </c>
      <c r="D74" s="77" t="s">
        <v>214</v>
      </c>
      <c r="E74" s="13" t="s">
        <v>155</v>
      </c>
      <c r="F74" s="15">
        <v>2270</v>
      </c>
      <c r="G74" s="47">
        <f t="shared" si="2"/>
        <v>13620</v>
      </c>
    </row>
    <row r="75" spans="2:7" s="24" customFormat="1" x14ac:dyDescent="0.25">
      <c r="B75" s="82" t="s">
        <v>1</v>
      </c>
      <c r="C75" s="76">
        <v>1</v>
      </c>
      <c r="D75" s="77" t="s">
        <v>257</v>
      </c>
      <c r="E75" s="13" t="s">
        <v>288</v>
      </c>
      <c r="F75" s="15">
        <v>349.00000003999997</v>
      </c>
      <c r="G75" s="47">
        <f t="shared" si="2"/>
        <v>349.00000003999997</v>
      </c>
    </row>
    <row r="76" spans="2:7" s="24" customFormat="1" ht="30" x14ac:dyDescent="0.25">
      <c r="B76" s="82" t="s">
        <v>1</v>
      </c>
      <c r="C76" s="76">
        <v>1</v>
      </c>
      <c r="D76" s="77" t="s">
        <v>165</v>
      </c>
      <c r="E76" s="13" t="s">
        <v>289</v>
      </c>
      <c r="F76" s="15">
        <v>5729.9997999999996</v>
      </c>
      <c r="G76" s="47">
        <f t="shared" si="2"/>
        <v>5729.9997999999996</v>
      </c>
    </row>
    <row r="77" spans="2:7" s="24" customFormat="1" ht="30" x14ac:dyDescent="0.25">
      <c r="B77" s="82" t="s">
        <v>1</v>
      </c>
      <c r="C77" s="76">
        <v>2</v>
      </c>
      <c r="D77" s="77" t="s">
        <v>258</v>
      </c>
      <c r="E77" s="13" t="s">
        <v>290</v>
      </c>
      <c r="F77" s="15">
        <v>3340.0111999999999</v>
      </c>
      <c r="G77" s="47">
        <f t="shared" si="2"/>
        <v>6680.0223999999998</v>
      </c>
    </row>
    <row r="78" spans="2:7" s="24" customFormat="1" ht="30" x14ac:dyDescent="0.25">
      <c r="B78" s="82" t="s">
        <v>1</v>
      </c>
      <c r="C78" s="76">
        <v>1</v>
      </c>
      <c r="D78" s="77" t="s">
        <v>259</v>
      </c>
      <c r="E78" s="13" t="s">
        <v>289</v>
      </c>
      <c r="F78" s="15">
        <v>1889.9821999999999</v>
      </c>
      <c r="G78" s="47">
        <f t="shared" si="2"/>
        <v>1889.9821999999999</v>
      </c>
    </row>
    <row r="79" spans="2:7" s="24" customFormat="1" ht="30" x14ac:dyDescent="0.25">
      <c r="B79" s="82" t="s">
        <v>1</v>
      </c>
      <c r="C79" s="76">
        <v>2</v>
      </c>
      <c r="D79" s="77" t="s">
        <v>165</v>
      </c>
      <c r="E79" s="13" t="s">
        <v>291</v>
      </c>
      <c r="F79" s="15">
        <v>5729.9997999999996</v>
      </c>
      <c r="G79" s="47">
        <f t="shared" si="2"/>
        <v>11459.999599999999</v>
      </c>
    </row>
    <row r="80" spans="2:7" s="24" customFormat="1" ht="45" x14ac:dyDescent="0.25">
      <c r="B80" s="82" t="s">
        <v>1</v>
      </c>
      <c r="C80" s="76">
        <v>1</v>
      </c>
      <c r="D80" s="77" t="s">
        <v>260</v>
      </c>
      <c r="E80" s="13" t="s">
        <v>292</v>
      </c>
      <c r="F80" s="15">
        <v>4420.0001999999995</v>
      </c>
      <c r="G80" s="47">
        <f t="shared" si="2"/>
        <v>4420.0001999999995</v>
      </c>
    </row>
    <row r="81" spans="2:7" s="24" customFormat="1" ht="30" x14ac:dyDescent="0.25">
      <c r="B81" s="82" t="s">
        <v>1</v>
      </c>
      <c r="C81" s="76">
        <v>3</v>
      </c>
      <c r="D81" s="77" t="s">
        <v>261</v>
      </c>
      <c r="E81" s="13" t="s">
        <v>293</v>
      </c>
      <c r="F81" s="15">
        <v>817.99998400000004</v>
      </c>
      <c r="G81" s="47">
        <f t="shared" si="2"/>
        <v>2453.9999520000001</v>
      </c>
    </row>
    <row r="82" spans="2:7" s="24" customFormat="1" ht="90" x14ac:dyDescent="0.25">
      <c r="B82" s="82" t="s">
        <v>1</v>
      </c>
      <c r="C82" s="76">
        <v>1</v>
      </c>
      <c r="D82" s="77" t="s">
        <v>262</v>
      </c>
      <c r="E82" s="13" t="s">
        <v>277</v>
      </c>
      <c r="F82" s="15">
        <v>16344.4</v>
      </c>
      <c r="G82" s="47">
        <f t="shared" si="2"/>
        <v>16344.4</v>
      </c>
    </row>
    <row r="83" spans="2:7" s="24" customFormat="1" ht="60" x14ac:dyDescent="0.25">
      <c r="B83" s="82" t="s">
        <v>1</v>
      </c>
      <c r="C83" s="76">
        <v>8</v>
      </c>
      <c r="D83" s="77" t="s">
        <v>263</v>
      </c>
      <c r="E83" s="13" t="s">
        <v>278</v>
      </c>
      <c r="F83" s="15">
        <v>6295.32</v>
      </c>
      <c r="G83" s="47">
        <f t="shared" si="2"/>
        <v>50362.559999999998</v>
      </c>
    </row>
    <row r="84" spans="2:7" s="24" customFormat="1" ht="60" x14ac:dyDescent="0.25">
      <c r="B84" s="82" t="s">
        <v>1</v>
      </c>
      <c r="C84" s="76">
        <v>15</v>
      </c>
      <c r="D84" s="77" t="s">
        <v>264</v>
      </c>
      <c r="E84" s="13" t="s">
        <v>278</v>
      </c>
      <c r="F84" s="15">
        <v>3499.72</v>
      </c>
      <c r="G84" s="47">
        <f t="shared" si="2"/>
        <v>52495.799999999996</v>
      </c>
    </row>
    <row r="85" spans="2:7" s="24" customFormat="1" ht="30" x14ac:dyDescent="0.25">
      <c r="B85" s="82" t="s">
        <v>1</v>
      </c>
      <c r="C85" s="76">
        <v>2</v>
      </c>
      <c r="D85" s="77" t="s">
        <v>265</v>
      </c>
      <c r="E85" s="13" t="s">
        <v>279</v>
      </c>
      <c r="F85" s="15">
        <v>3424.3199999999997</v>
      </c>
      <c r="G85" s="47">
        <f t="shared" si="2"/>
        <v>6848.6399999999994</v>
      </c>
    </row>
    <row r="86" spans="2:7" s="24" customFormat="1" ht="45" x14ac:dyDescent="0.25">
      <c r="B86" s="82" t="s">
        <v>1</v>
      </c>
      <c r="C86" s="76">
        <v>6</v>
      </c>
      <c r="D86" s="77" t="s">
        <v>266</v>
      </c>
      <c r="E86" s="13" t="s">
        <v>280</v>
      </c>
      <c r="F86" s="15">
        <v>1376.9199999999998</v>
      </c>
      <c r="G86" s="47">
        <f t="shared" si="2"/>
        <v>8261.5199999999986</v>
      </c>
    </row>
    <row r="87" spans="2:7" s="24" customFormat="1" ht="30" x14ac:dyDescent="0.25">
      <c r="B87" s="82" t="s">
        <v>1</v>
      </c>
      <c r="C87" s="76">
        <v>8</v>
      </c>
      <c r="D87" s="77" t="s">
        <v>258</v>
      </c>
      <c r="E87" s="13" t="s">
        <v>280</v>
      </c>
      <c r="F87" s="15">
        <v>2262</v>
      </c>
      <c r="G87" s="47">
        <f t="shared" si="2"/>
        <v>18096</v>
      </c>
    </row>
    <row r="88" spans="2:7" s="24" customFormat="1" ht="45" x14ac:dyDescent="0.25">
      <c r="B88" s="82" t="s">
        <v>1</v>
      </c>
      <c r="C88" s="76">
        <v>2</v>
      </c>
      <c r="D88" s="77" t="s">
        <v>267</v>
      </c>
      <c r="E88" s="13" t="s">
        <v>281</v>
      </c>
      <c r="F88" s="15">
        <v>2036.9599999999998</v>
      </c>
      <c r="G88" s="47">
        <f t="shared" si="2"/>
        <v>4073.9199999999996</v>
      </c>
    </row>
    <row r="89" spans="2:7" s="24" customFormat="1" ht="30" x14ac:dyDescent="0.25">
      <c r="B89" s="82" t="s">
        <v>1</v>
      </c>
      <c r="C89" s="76">
        <v>10</v>
      </c>
      <c r="D89" s="77" t="s">
        <v>268</v>
      </c>
      <c r="E89" s="13" t="s">
        <v>280</v>
      </c>
      <c r="F89" s="15">
        <v>1832.8</v>
      </c>
      <c r="G89" s="47">
        <f t="shared" si="2"/>
        <v>18328</v>
      </c>
    </row>
    <row r="90" spans="2:7" s="24" customFormat="1" ht="30" x14ac:dyDescent="0.25">
      <c r="B90" s="82" t="s">
        <v>1</v>
      </c>
      <c r="C90" s="76">
        <v>15</v>
      </c>
      <c r="D90" s="77" t="s">
        <v>165</v>
      </c>
      <c r="E90" s="13" t="s">
        <v>280</v>
      </c>
      <c r="F90" s="15">
        <v>5558.7199999999993</v>
      </c>
      <c r="G90" s="47">
        <f t="shared" si="2"/>
        <v>83380.799999999988</v>
      </c>
    </row>
    <row r="91" spans="2:7" s="24" customFormat="1" ht="30" x14ac:dyDescent="0.25">
      <c r="B91" s="82" t="s">
        <v>1</v>
      </c>
      <c r="C91" s="76">
        <v>2</v>
      </c>
      <c r="D91" s="77" t="s">
        <v>269</v>
      </c>
      <c r="E91" s="13" t="s">
        <v>282</v>
      </c>
      <c r="F91" s="15">
        <v>4065.5795999999996</v>
      </c>
      <c r="G91" s="47">
        <f t="shared" si="2"/>
        <v>8131.1591999999991</v>
      </c>
    </row>
    <row r="92" spans="2:7" s="24" customFormat="1" ht="30" x14ac:dyDescent="0.25">
      <c r="B92" s="82" t="s">
        <v>1</v>
      </c>
      <c r="C92" s="76">
        <v>6</v>
      </c>
      <c r="D92" s="77" t="s">
        <v>270</v>
      </c>
      <c r="E92" s="13" t="s">
        <v>280</v>
      </c>
      <c r="F92" s="15">
        <v>2354.7999999999997</v>
      </c>
      <c r="G92" s="47">
        <f t="shared" si="2"/>
        <v>14128.8</v>
      </c>
    </row>
    <row r="93" spans="2:7" s="24" customFormat="1" ht="45" x14ac:dyDescent="0.25">
      <c r="B93" s="82" t="s">
        <v>1</v>
      </c>
      <c r="C93" s="76">
        <v>20</v>
      </c>
      <c r="D93" s="77" t="s">
        <v>271</v>
      </c>
      <c r="E93" s="13" t="s">
        <v>283</v>
      </c>
      <c r="F93" s="15">
        <v>2455.7199999999998</v>
      </c>
      <c r="G93" s="47">
        <f t="shared" si="2"/>
        <v>49114.399999999994</v>
      </c>
    </row>
    <row r="94" spans="2:7" s="24" customFormat="1" ht="30" x14ac:dyDescent="0.25">
      <c r="B94" s="82" t="s">
        <v>1</v>
      </c>
      <c r="C94" s="76">
        <v>70</v>
      </c>
      <c r="D94" s="77" t="s">
        <v>272</v>
      </c>
      <c r="E94" s="13" t="s">
        <v>283</v>
      </c>
      <c r="F94" s="15">
        <v>678.59999999999991</v>
      </c>
      <c r="G94" s="47">
        <f t="shared" si="2"/>
        <v>47501.999999999993</v>
      </c>
    </row>
    <row r="95" spans="2:7" s="24" customFormat="1" ht="30" x14ac:dyDescent="0.25">
      <c r="B95" s="82" t="s">
        <v>1</v>
      </c>
      <c r="C95" s="76">
        <v>1</v>
      </c>
      <c r="D95" s="77" t="s">
        <v>273</v>
      </c>
      <c r="E95" s="13" t="s">
        <v>319</v>
      </c>
      <c r="F95" s="15">
        <v>817.8</v>
      </c>
      <c r="G95" s="47">
        <f t="shared" si="2"/>
        <v>817.8</v>
      </c>
    </row>
    <row r="96" spans="2:7" s="24" customFormat="1" ht="30" x14ac:dyDescent="0.25">
      <c r="B96" s="82" t="s">
        <v>1</v>
      </c>
      <c r="C96" s="76">
        <v>4</v>
      </c>
      <c r="D96" s="77" t="s">
        <v>273</v>
      </c>
      <c r="E96" s="13" t="s">
        <v>284</v>
      </c>
      <c r="F96" s="15">
        <f>704.98*1.16</f>
        <v>817.77679999999998</v>
      </c>
      <c r="G96" s="47">
        <f t="shared" si="2"/>
        <v>3271.1071999999999</v>
      </c>
    </row>
    <row r="97" spans="2:7" s="24" customFormat="1" ht="30" x14ac:dyDescent="0.25">
      <c r="B97" s="82" t="s">
        <v>1</v>
      </c>
      <c r="C97" s="76">
        <v>1</v>
      </c>
      <c r="D97" s="77" t="s">
        <v>274</v>
      </c>
      <c r="E97" s="13" t="s">
        <v>285</v>
      </c>
      <c r="F97" s="15">
        <f>4801.72*1.16</f>
        <v>5569.9952000000003</v>
      </c>
      <c r="G97" s="47">
        <f t="shared" si="2"/>
        <v>5569.9952000000003</v>
      </c>
    </row>
    <row r="98" spans="2:7" s="24" customFormat="1" ht="60" x14ac:dyDescent="0.25">
      <c r="B98" s="82" t="s">
        <v>1</v>
      </c>
      <c r="C98" s="76">
        <v>1</v>
      </c>
      <c r="D98" s="77" t="s">
        <v>275</v>
      </c>
      <c r="E98" s="13" t="s">
        <v>285</v>
      </c>
      <c r="F98" s="15">
        <f>4362.07*1.16</f>
        <v>5060.0011999999997</v>
      </c>
      <c r="G98" s="47">
        <f t="shared" si="2"/>
        <v>5060.0011999999997</v>
      </c>
    </row>
    <row r="99" spans="2:7" s="24" customFormat="1" ht="30" x14ac:dyDescent="0.25">
      <c r="B99" s="82" t="s">
        <v>1</v>
      </c>
      <c r="C99" s="76">
        <v>1</v>
      </c>
      <c r="D99" s="77" t="s">
        <v>274</v>
      </c>
      <c r="E99" s="13" t="s">
        <v>286</v>
      </c>
      <c r="F99" s="15">
        <f>4801.72*1.16</f>
        <v>5569.9952000000003</v>
      </c>
      <c r="G99" s="47">
        <f t="shared" si="2"/>
        <v>5569.9952000000003</v>
      </c>
    </row>
    <row r="100" spans="2:7" s="24" customFormat="1" ht="45" x14ac:dyDescent="0.25">
      <c r="B100" s="82" t="s">
        <v>1</v>
      </c>
      <c r="C100" s="76">
        <v>2</v>
      </c>
      <c r="D100" s="77" t="s">
        <v>266</v>
      </c>
      <c r="E100" s="13" t="s">
        <v>286</v>
      </c>
      <c r="F100" s="15">
        <f>1219.83*1.16</f>
        <v>1415.0027999999998</v>
      </c>
      <c r="G100" s="47">
        <f t="shared" si="2"/>
        <v>2830.0055999999995</v>
      </c>
    </row>
    <row r="101" spans="2:7" s="24" customFormat="1" ht="30" x14ac:dyDescent="0.25">
      <c r="B101" s="82" t="s">
        <v>1</v>
      </c>
      <c r="C101" s="76">
        <v>1</v>
      </c>
      <c r="D101" s="77" t="s">
        <v>276</v>
      </c>
      <c r="E101" s="13" t="s">
        <v>287</v>
      </c>
      <c r="F101" s="15">
        <f>960</f>
        <v>960</v>
      </c>
      <c r="G101" s="47">
        <f t="shared" si="2"/>
        <v>960</v>
      </c>
    </row>
    <row r="102" spans="2:7" s="24" customFormat="1" x14ac:dyDescent="0.25">
      <c r="B102" s="82" t="s">
        <v>308</v>
      </c>
      <c r="C102" s="76">
        <v>1</v>
      </c>
      <c r="D102" s="77" t="s">
        <v>309</v>
      </c>
      <c r="E102" s="13" t="s">
        <v>283</v>
      </c>
      <c r="F102" s="15">
        <v>11608</v>
      </c>
      <c r="G102" s="47">
        <f t="shared" si="2"/>
        <v>11608</v>
      </c>
    </row>
    <row r="103" spans="2:7" s="24" customFormat="1" ht="30" x14ac:dyDescent="0.25">
      <c r="B103" s="82" t="s">
        <v>308</v>
      </c>
      <c r="C103" s="76">
        <v>1</v>
      </c>
      <c r="D103" s="77" t="s">
        <v>310</v>
      </c>
      <c r="E103" s="13" t="s">
        <v>201</v>
      </c>
      <c r="F103" s="15">
        <v>56584.800000000003</v>
      </c>
      <c r="G103" s="47">
        <f t="shared" si="2"/>
        <v>56584.800000000003</v>
      </c>
    </row>
    <row r="104" spans="2:7" s="24" customFormat="1" x14ac:dyDescent="0.25">
      <c r="B104" s="82" t="s">
        <v>308</v>
      </c>
      <c r="C104" s="76">
        <v>1</v>
      </c>
      <c r="D104" s="77" t="s">
        <v>311</v>
      </c>
      <c r="E104" s="13" t="s">
        <v>288</v>
      </c>
      <c r="F104" s="15">
        <f>3564</f>
        <v>3564</v>
      </c>
      <c r="G104" s="47">
        <f t="shared" si="2"/>
        <v>3564</v>
      </c>
    </row>
    <row r="105" spans="2:7" s="24" customFormat="1" x14ac:dyDescent="0.25">
      <c r="B105" s="82" t="s">
        <v>308</v>
      </c>
      <c r="C105" s="76">
        <v>1</v>
      </c>
      <c r="D105" s="77" t="s">
        <v>312</v>
      </c>
      <c r="E105" s="13" t="s">
        <v>201</v>
      </c>
      <c r="F105" s="15">
        <f>1892</f>
        <v>1892</v>
      </c>
      <c r="G105" s="47">
        <f t="shared" si="2"/>
        <v>1892</v>
      </c>
    </row>
    <row r="106" spans="2:7" s="24" customFormat="1" x14ac:dyDescent="0.25">
      <c r="B106" s="82" t="s">
        <v>308</v>
      </c>
      <c r="C106" s="76">
        <v>1</v>
      </c>
      <c r="D106" s="77" t="s">
        <v>313</v>
      </c>
      <c r="E106" s="13" t="s">
        <v>283</v>
      </c>
      <c r="F106" s="15">
        <f>12532</f>
        <v>12532</v>
      </c>
      <c r="G106" s="47">
        <f t="shared" si="2"/>
        <v>12532</v>
      </c>
    </row>
    <row r="107" spans="2:7" s="24" customFormat="1" x14ac:dyDescent="0.25">
      <c r="B107" s="82" t="s">
        <v>308</v>
      </c>
      <c r="C107" s="76">
        <v>2</v>
      </c>
      <c r="D107" s="77" t="s">
        <v>314</v>
      </c>
      <c r="E107" s="13" t="s">
        <v>283</v>
      </c>
      <c r="F107" s="15">
        <v>3032</v>
      </c>
      <c r="G107" s="47">
        <f t="shared" si="2"/>
        <v>6064</v>
      </c>
    </row>
    <row r="108" spans="2:7" s="24" customFormat="1" x14ac:dyDescent="0.25">
      <c r="B108" s="82" t="s">
        <v>308</v>
      </c>
      <c r="C108" s="76">
        <v>8</v>
      </c>
      <c r="D108" s="77" t="s">
        <v>315</v>
      </c>
      <c r="E108" s="13" t="s">
        <v>283</v>
      </c>
      <c r="F108" s="15">
        <f>1284</f>
        <v>1284</v>
      </c>
      <c r="G108" s="47">
        <f t="shared" si="2"/>
        <v>10272</v>
      </c>
    </row>
    <row r="109" spans="2:7" s="24" customFormat="1" x14ac:dyDescent="0.25">
      <c r="B109" s="82" t="s">
        <v>308</v>
      </c>
      <c r="C109" s="76">
        <v>1</v>
      </c>
      <c r="D109" s="77" t="s">
        <v>316</v>
      </c>
      <c r="E109" s="13" t="s">
        <v>283</v>
      </c>
      <c r="F109" s="15">
        <f>(4732.76-775.86)*1.16</f>
        <v>4590.0039999999999</v>
      </c>
      <c r="G109" s="47">
        <f t="shared" si="2"/>
        <v>4590.0039999999999</v>
      </c>
    </row>
    <row r="110" spans="2:7" s="24" customFormat="1" x14ac:dyDescent="0.25">
      <c r="B110" s="82" t="s">
        <v>308</v>
      </c>
      <c r="C110" s="76">
        <v>1</v>
      </c>
      <c r="D110" s="77" t="s">
        <v>317</v>
      </c>
      <c r="E110" s="13" t="s">
        <v>283</v>
      </c>
      <c r="F110" s="15">
        <f>1198*1.16</f>
        <v>1389.6799999999998</v>
      </c>
      <c r="G110" s="47">
        <f t="shared" si="2"/>
        <v>1389.6799999999998</v>
      </c>
    </row>
    <row r="111" spans="2:7" s="24" customFormat="1" x14ac:dyDescent="0.25">
      <c r="B111" s="82" t="s">
        <v>308</v>
      </c>
      <c r="C111" s="76">
        <v>2</v>
      </c>
      <c r="D111" s="77" t="s">
        <v>318</v>
      </c>
      <c r="E111" s="13" t="s">
        <v>283</v>
      </c>
      <c r="F111" s="15">
        <v>1990</v>
      </c>
      <c r="G111" s="47">
        <f t="shared" si="2"/>
        <v>3980</v>
      </c>
    </row>
    <row r="112" spans="2:7" s="24" customFormat="1" ht="30" x14ac:dyDescent="0.25">
      <c r="B112" s="82" t="s">
        <v>5</v>
      </c>
      <c r="C112" s="76">
        <v>1</v>
      </c>
      <c r="D112" s="77" t="s">
        <v>80</v>
      </c>
      <c r="E112" s="13" t="s">
        <v>146</v>
      </c>
      <c r="F112" s="15">
        <v>4699</v>
      </c>
      <c r="G112" s="47">
        <f t="shared" si="0"/>
        <v>4699</v>
      </c>
    </row>
    <row r="113" spans="2:7" s="24" customFormat="1" ht="27.75" customHeight="1" x14ac:dyDescent="0.25">
      <c r="B113" s="82" t="s">
        <v>5</v>
      </c>
      <c r="C113" s="76">
        <v>1</v>
      </c>
      <c r="D113" s="77" t="s">
        <v>80</v>
      </c>
      <c r="E113" s="13" t="s">
        <v>141</v>
      </c>
      <c r="F113" s="15">
        <v>3883.85</v>
      </c>
      <c r="G113" s="47">
        <f t="shared" si="0"/>
        <v>3883.85</v>
      </c>
    </row>
    <row r="114" spans="2:7" s="24" customFormat="1" ht="45" customHeight="1" x14ac:dyDescent="0.25">
      <c r="B114" s="82" t="s">
        <v>5</v>
      </c>
      <c r="C114" s="76">
        <v>1</v>
      </c>
      <c r="D114" s="77" t="s">
        <v>91</v>
      </c>
      <c r="E114" s="13" t="s">
        <v>145</v>
      </c>
      <c r="F114" s="15">
        <f>11126.99+0.01</f>
        <v>11127</v>
      </c>
      <c r="G114" s="47">
        <f>+C114*F114</f>
        <v>11127</v>
      </c>
    </row>
    <row r="115" spans="2:7" s="24" customFormat="1" ht="60" customHeight="1" x14ac:dyDescent="0.25">
      <c r="B115" s="82" t="s">
        <v>5</v>
      </c>
      <c r="C115" s="76">
        <v>20</v>
      </c>
      <c r="D115" s="77" t="s">
        <v>147</v>
      </c>
      <c r="E115" s="13" t="s">
        <v>152</v>
      </c>
      <c r="F115" s="15">
        <f>10724.87*1.16</f>
        <v>12440.849200000001</v>
      </c>
      <c r="G115" s="47">
        <f>+C115*F115+0.01</f>
        <v>248816.99400000001</v>
      </c>
    </row>
    <row r="116" spans="2:7" s="24" customFormat="1" ht="30" x14ac:dyDescent="0.25">
      <c r="B116" s="82" t="s">
        <v>5</v>
      </c>
      <c r="C116" s="76">
        <v>2</v>
      </c>
      <c r="D116" s="77" t="s">
        <v>148</v>
      </c>
      <c r="E116" s="13" t="s">
        <v>153</v>
      </c>
      <c r="F116" s="15">
        <f>10903*1.16</f>
        <v>12647.48</v>
      </c>
      <c r="G116" s="47">
        <f>+C116*F116</f>
        <v>25294.959999999999</v>
      </c>
    </row>
    <row r="117" spans="2:7" s="24" customFormat="1" ht="30" x14ac:dyDescent="0.25">
      <c r="B117" s="82" t="s">
        <v>5</v>
      </c>
      <c r="C117" s="76">
        <v>1</v>
      </c>
      <c r="D117" s="77" t="s">
        <v>149</v>
      </c>
      <c r="E117" s="13" t="s">
        <v>141</v>
      </c>
      <c r="F117" s="15">
        <f>4137.06*1.16</f>
        <v>4798.9895999999999</v>
      </c>
      <c r="G117" s="47">
        <f>+C117*F117+0.01</f>
        <v>4798.9996000000001</v>
      </c>
    </row>
    <row r="118" spans="2:7" s="24" customFormat="1" ht="30" x14ac:dyDescent="0.25">
      <c r="B118" s="82" t="s">
        <v>5</v>
      </c>
      <c r="C118" s="76">
        <v>1</v>
      </c>
      <c r="D118" s="77" t="s">
        <v>149</v>
      </c>
      <c r="E118" s="13" t="s">
        <v>154</v>
      </c>
      <c r="F118" s="15">
        <f>4137.06*1.16</f>
        <v>4798.9895999999999</v>
      </c>
      <c r="G118" s="47">
        <f>+C118*F118+0.01</f>
        <v>4798.9996000000001</v>
      </c>
    </row>
    <row r="119" spans="2:7" s="24" customFormat="1" ht="30" x14ac:dyDescent="0.25">
      <c r="B119" s="82" t="s">
        <v>5</v>
      </c>
      <c r="C119" s="76">
        <v>1</v>
      </c>
      <c r="D119" s="77" t="s">
        <v>150</v>
      </c>
      <c r="E119" s="13" t="s">
        <v>155</v>
      </c>
      <c r="F119" s="15">
        <f>7505.46*1.16</f>
        <v>8706.3335999999999</v>
      </c>
      <c r="G119" s="47">
        <f t="shared" ref="G119:G130" si="3">+C119*F119</f>
        <v>8706.3335999999999</v>
      </c>
    </row>
    <row r="120" spans="2:7" s="24" customFormat="1" ht="30" x14ac:dyDescent="0.25">
      <c r="B120" s="82" t="s">
        <v>5</v>
      </c>
      <c r="C120" s="76">
        <v>1</v>
      </c>
      <c r="D120" s="77" t="s">
        <v>151</v>
      </c>
      <c r="E120" s="13" t="s">
        <v>155</v>
      </c>
      <c r="F120" s="15">
        <f>543.1*1.16</f>
        <v>629.99599999999998</v>
      </c>
      <c r="G120" s="47">
        <f t="shared" si="3"/>
        <v>629.99599999999998</v>
      </c>
    </row>
    <row r="121" spans="2:7" s="24" customFormat="1" ht="30" x14ac:dyDescent="0.25">
      <c r="B121" s="82" t="s">
        <v>5</v>
      </c>
      <c r="C121" s="76">
        <v>1</v>
      </c>
      <c r="D121" s="77" t="s">
        <v>151</v>
      </c>
      <c r="E121" s="13" t="s">
        <v>155</v>
      </c>
      <c r="F121" s="15">
        <f>543.1*1.16</f>
        <v>629.99599999999998</v>
      </c>
      <c r="G121" s="47">
        <f t="shared" si="3"/>
        <v>629.99599999999998</v>
      </c>
    </row>
    <row r="122" spans="2:7" s="24" customFormat="1" ht="30" x14ac:dyDescent="0.25">
      <c r="B122" s="82" t="s">
        <v>5</v>
      </c>
      <c r="C122" s="76">
        <v>1</v>
      </c>
      <c r="D122" s="77" t="s">
        <v>149</v>
      </c>
      <c r="E122" s="13" t="s">
        <v>137</v>
      </c>
      <c r="F122" s="15">
        <v>4901.9744000000001</v>
      </c>
      <c r="G122" s="47">
        <f t="shared" si="3"/>
        <v>4901.9744000000001</v>
      </c>
    </row>
    <row r="123" spans="2:7" s="24" customFormat="1" ht="30" x14ac:dyDescent="0.25">
      <c r="B123" s="82" t="s">
        <v>5</v>
      </c>
      <c r="C123" s="76">
        <v>1</v>
      </c>
      <c r="D123" s="77" t="s">
        <v>171</v>
      </c>
      <c r="E123" s="13" t="s">
        <v>179</v>
      </c>
      <c r="F123" s="15">
        <v>2126.9991999999997</v>
      </c>
      <c r="G123" s="47">
        <f t="shared" si="3"/>
        <v>2126.9991999999997</v>
      </c>
    </row>
    <row r="124" spans="2:7" s="24" customFormat="1" ht="30" x14ac:dyDescent="0.25">
      <c r="B124" s="82" t="s">
        <v>5</v>
      </c>
      <c r="C124" s="76">
        <v>1</v>
      </c>
      <c r="D124" s="77" t="s">
        <v>172</v>
      </c>
      <c r="E124" s="13" t="s">
        <v>170</v>
      </c>
      <c r="F124" s="15">
        <v>118797.3052</v>
      </c>
      <c r="G124" s="47">
        <f t="shared" si="3"/>
        <v>118797.3052</v>
      </c>
    </row>
    <row r="125" spans="2:7" s="24" customFormat="1" ht="45" x14ac:dyDescent="0.25">
      <c r="B125" s="82" t="s">
        <v>5</v>
      </c>
      <c r="C125" s="76">
        <v>1</v>
      </c>
      <c r="D125" s="77" t="s">
        <v>173</v>
      </c>
      <c r="E125" s="13" t="s">
        <v>170</v>
      </c>
      <c r="F125" s="15">
        <v>40600</v>
      </c>
      <c r="G125" s="47">
        <f t="shared" si="3"/>
        <v>40600</v>
      </c>
    </row>
    <row r="126" spans="2:7" s="24" customFormat="1" ht="30" x14ac:dyDescent="0.25">
      <c r="B126" s="82" t="s">
        <v>5</v>
      </c>
      <c r="C126" s="76">
        <v>1</v>
      </c>
      <c r="D126" s="77" t="s">
        <v>174</v>
      </c>
      <c r="E126" s="13" t="s">
        <v>137</v>
      </c>
      <c r="F126" s="15">
        <v>27097.599999999999</v>
      </c>
      <c r="G126" s="47">
        <f t="shared" si="3"/>
        <v>27097.599999999999</v>
      </c>
    </row>
    <row r="127" spans="2:7" s="24" customFormat="1" ht="30" x14ac:dyDescent="0.25">
      <c r="B127" s="82" t="s">
        <v>5</v>
      </c>
      <c r="C127" s="76">
        <v>1</v>
      </c>
      <c r="D127" s="77" t="s">
        <v>175</v>
      </c>
      <c r="E127" s="13" t="s">
        <v>154</v>
      </c>
      <c r="F127" s="15">
        <v>14476.8</v>
      </c>
      <c r="G127" s="47">
        <f t="shared" si="3"/>
        <v>14476.8</v>
      </c>
    </row>
    <row r="128" spans="2:7" s="24" customFormat="1" ht="30" x14ac:dyDescent="0.25">
      <c r="B128" s="82" t="s">
        <v>5</v>
      </c>
      <c r="C128" s="76">
        <v>1</v>
      </c>
      <c r="D128" s="77" t="s">
        <v>175</v>
      </c>
      <c r="E128" s="13" t="s">
        <v>154</v>
      </c>
      <c r="F128" s="15">
        <v>14476.8</v>
      </c>
      <c r="G128" s="47">
        <f t="shared" si="3"/>
        <v>14476.8</v>
      </c>
    </row>
    <row r="129" spans="2:7" s="24" customFormat="1" ht="30" x14ac:dyDescent="0.25">
      <c r="B129" s="82" t="s">
        <v>5</v>
      </c>
      <c r="C129" s="76">
        <v>1</v>
      </c>
      <c r="D129" s="77" t="s">
        <v>176</v>
      </c>
      <c r="E129" s="13" t="s">
        <v>114</v>
      </c>
      <c r="F129" s="15">
        <v>15567.2</v>
      </c>
      <c r="G129" s="47">
        <f t="shared" si="3"/>
        <v>15567.2</v>
      </c>
    </row>
    <row r="130" spans="2:7" s="24" customFormat="1" ht="30" x14ac:dyDescent="0.25">
      <c r="B130" s="82" t="s">
        <v>5</v>
      </c>
      <c r="C130" s="76">
        <v>1</v>
      </c>
      <c r="D130" s="77" t="s">
        <v>176</v>
      </c>
      <c r="E130" s="13" t="s">
        <v>170</v>
      </c>
      <c r="F130" s="15">
        <v>15567.2</v>
      </c>
      <c r="G130" s="47">
        <f t="shared" si="3"/>
        <v>15567.2</v>
      </c>
    </row>
    <row r="131" spans="2:7" s="24" customFormat="1" ht="30" x14ac:dyDescent="0.25">
      <c r="B131" s="82" t="s">
        <v>5</v>
      </c>
      <c r="C131" s="76">
        <v>1</v>
      </c>
      <c r="D131" s="77" t="s">
        <v>177</v>
      </c>
      <c r="E131" s="13" t="s">
        <v>141</v>
      </c>
      <c r="F131" s="15">
        <v>11448.9912</v>
      </c>
      <c r="G131" s="47">
        <f>+C131*F131+0.01</f>
        <v>11449.001200000001</v>
      </c>
    </row>
    <row r="132" spans="2:7" s="24" customFormat="1" ht="30" x14ac:dyDescent="0.25">
      <c r="B132" s="82" t="s">
        <v>5</v>
      </c>
      <c r="C132" s="76">
        <v>1</v>
      </c>
      <c r="D132" s="77" t="s">
        <v>196</v>
      </c>
      <c r="E132" s="13" t="s">
        <v>141</v>
      </c>
      <c r="F132" s="15">
        <v>9499.0079999999998</v>
      </c>
      <c r="G132" s="47">
        <f t="shared" ref="G132:G156" si="4">+C132*F132+0.01</f>
        <v>9499.018</v>
      </c>
    </row>
    <row r="133" spans="2:7" s="24" customFormat="1" ht="30" x14ac:dyDescent="0.25">
      <c r="B133" s="82" t="s">
        <v>5</v>
      </c>
      <c r="C133" s="76">
        <v>1</v>
      </c>
      <c r="D133" s="77" t="s">
        <v>197</v>
      </c>
      <c r="E133" s="13" t="s">
        <v>201</v>
      </c>
      <c r="F133" s="15">
        <v>1194.9972</v>
      </c>
      <c r="G133" s="47">
        <f t="shared" si="4"/>
        <v>1195.0072</v>
      </c>
    </row>
    <row r="134" spans="2:7" s="24" customFormat="1" ht="30" x14ac:dyDescent="0.25">
      <c r="B134" s="82" t="s">
        <v>5</v>
      </c>
      <c r="C134" s="76">
        <v>1</v>
      </c>
      <c r="D134" s="77" t="s">
        <v>198</v>
      </c>
      <c r="E134" s="13" t="s">
        <v>202</v>
      </c>
      <c r="F134" s="15">
        <v>4798.9896000000008</v>
      </c>
      <c r="G134" s="47">
        <f t="shared" si="4"/>
        <v>4798.999600000001</v>
      </c>
    </row>
    <row r="135" spans="2:7" s="24" customFormat="1" ht="30" x14ac:dyDescent="0.25">
      <c r="B135" s="82" t="s">
        <v>5</v>
      </c>
      <c r="C135" s="76">
        <v>1</v>
      </c>
      <c r="D135" s="77" t="s">
        <v>199</v>
      </c>
      <c r="E135" s="13" t="s">
        <v>141</v>
      </c>
      <c r="F135" s="15">
        <v>10027.214</v>
      </c>
      <c r="G135" s="47">
        <f t="shared" si="4"/>
        <v>10027.224</v>
      </c>
    </row>
    <row r="136" spans="2:7" s="24" customFormat="1" ht="30" x14ac:dyDescent="0.25">
      <c r="B136" s="82" t="s">
        <v>5</v>
      </c>
      <c r="C136" s="76">
        <v>1</v>
      </c>
      <c r="D136" s="77" t="s">
        <v>200</v>
      </c>
      <c r="E136" s="13" t="s">
        <v>141</v>
      </c>
      <c r="F136" s="15">
        <v>10999.00000032</v>
      </c>
      <c r="G136" s="47">
        <f t="shared" si="4"/>
        <v>10999.01000032</v>
      </c>
    </row>
    <row r="137" spans="2:7" s="24" customFormat="1" ht="30" x14ac:dyDescent="0.25">
      <c r="B137" s="82" t="s">
        <v>5</v>
      </c>
      <c r="C137" s="76">
        <v>1</v>
      </c>
      <c r="D137" s="77" t="s">
        <v>216</v>
      </c>
      <c r="E137" s="13" t="s">
        <v>221</v>
      </c>
      <c r="F137" s="15">
        <v>3599.99</v>
      </c>
      <c r="G137" s="47">
        <f t="shared" si="4"/>
        <v>3600</v>
      </c>
    </row>
    <row r="138" spans="2:7" s="24" customFormat="1" ht="30" x14ac:dyDescent="0.25">
      <c r="B138" s="82" t="s">
        <v>5</v>
      </c>
      <c r="C138" s="76">
        <v>1</v>
      </c>
      <c r="D138" s="77" t="s">
        <v>217</v>
      </c>
      <c r="E138" s="13" t="s">
        <v>215</v>
      </c>
      <c r="F138" s="15">
        <v>5636.86</v>
      </c>
      <c r="G138" s="47">
        <f t="shared" si="4"/>
        <v>5636.87</v>
      </c>
    </row>
    <row r="139" spans="2:7" s="24" customFormat="1" ht="30" x14ac:dyDescent="0.25">
      <c r="B139" s="82" t="s">
        <v>5</v>
      </c>
      <c r="C139" s="76">
        <v>2</v>
      </c>
      <c r="D139" s="77" t="s">
        <v>218</v>
      </c>
      <c r="E139" s="13" t="s">
        <v>201</v>
      </c>
      <c r="F139" s="15">
        <v>599</v>
      </c>
      <c r="G139" s="47">
        <f t="shared" si="4"/>
        <v>1198.01</v>
      </c>
    </row>
    <row r="140" spans="2:7" s="24" customFormat="1" ht="30" x14ac:dyDescent="0.25">
      <c r="B140" s="82" t="s">
        <v>5</v>
      </c>
      <c r="C140" s="76">
        <v>1</v>
      </c>
      <c r="D140" s="77" t="s">
        <v>219</v>
      </c>
      <c r="E140" s="13" t="s">
        <v>201</v>
      </c>
      <c r="F140" s="15">
        <v>349</v>
      </c>
      <c r="G140" s="47">
        <f t="shared" si="4"/>
        <v>349.01</v>
      </c>
    </row>
    <row r="141" spans="2:7" s="24" customFormat="1" ht="30" x14ac:dyDescent="0.25">
      <c r="B141" s="82" t="s">
        <v>5</v>
      </c>
      <c r="C141" s="76">
        <v>1</v>
      </c>
      <c r="D141" s="77" t="s">
        <v>220</v>
      </c>
      <c r="E141" s="13" t="s">
        <v>201</v>
      </c>
      <c r="F141" s="15">
        <v>699</v>
      </c>
      <c r="G141" s="47">
        <f t="shared" si="4"/>
        <v>699.01</v>
      </c>
    </row>
    <row r="142" spans="2:7" s="24" customFormat="1" ht="30" x14ac:dyDescent="0.25">
      <c r="B142" s="82" t="s">
        <v>5</v>
      </c>
      <c r="C142" s="76">
        <v>2</v>
      </c>
      <c r="D142" s="77" t="s">
        <v>234</v>
      </c>
      <c r="E142" s="13" t="s">
        <v>249</v>
      </c>
      <c r="F142" s="15">
        <v>7400</v>
      </c>
      <c r="G142" s="47">
        <f t="shared" si="4"/>
        <v>14800.01</v>
      </c>
    </row>
    <row r="143" spans="2:7" s="24" customFormat="1" ht="30" x14ac:dyDescent="0.25">
      <c r="B143" s="82" t="s">
        <v>5</v>
      </c>
      <c r="C143" s="76">
        <v>1</v>
      </c>
      <c r="D143" s="77" t="s">
        <v>235</v>
      </c>
      <c r="E143" s="13" t="s">
        <v>250</v>
      </c>
      <c r="F143" s="15">
        <v>26119.72</v>
      </c>
      <c r="G143" s="47">
        <f t="shared" si="4"/>
        <v>26119.73</v>
      </c>
    </row>
    <row r="144" spans="2:7" s="24" customFormat="1" ht="30" x14ac:dyDescent="0.25">
      <c r="B144" s="82" t="s">
        <v>5</v>
      </c>
      <c r="C144" s="76">
        <v>1</v>
      </c>
      <c r="D144" s="77" t="s">
        <v>236</v>
      </c>
      <c r="E144" s="13" t="s">
        <v>250</v>
      </c>
      <c r="F144" s="15">
        <f>2615*1.16</f>
        <v>3033.3999999999996</v>
      </c>
      <c r="G144" s="47">
        <f t="shared" si="4"/>
        <v>3033.41</v>
      </c>
    </row>
    <row r="145" spans="2:7" s="24" customFormat="1" ht="30" x14ac:dyDescent="0.25">
      <c r="B145" s="82" t="s">
        <v>5</v>
      </c>
      <c r="C145" s="76">
        <v>2</v>
      </c>
      <c r="D145" s="77" t="s">
        <v>237</v>
      </c>
      <c r="E145" s="13" t="s">
        <v>250</v>
      </c>
      <c r="F145" s="15">
        <v>14371.24</v>
      </c>
      <c r="G145" s="47">
        <f t="shared" si="4"/>
        <v>28742.489999999998</v>
      </c>
    </row>
    <row r="146" spans="2:7" s="24" customFormat="1" ht="30" x14ac:dyDescent="0.25">
      <c r="B146" s="82" t="s">
        <v>5</v>
      </c>
      <c r="C146" s="76">
        <v>1</v>
      </c>
      <c r="D146" s="77" t="s">
        <v>238</v>
      </c>
      <c r="E146" s="13" t="s">
        <v>251</v>
      </c>
      <c r="F146" s="15">
        <f>36056*1.16</f>
        <v>41824.959999999999</v>
      </c>
      <c r="G146" s="47">
        <f t="shared" si="4"/>
        <v>41824.97</v>
      </c>
    </row>
    <row r="147" spans="2:7" s="24" customFormat="1" ht="30" x14ac:dyDescent="0.25">
      <c r="B147" s="82" t="s">
        <v>5</v>
      </c>
      <c r="C147" s="76">
        <v>1</v>
      </c>
      <c r="D147" s="77" t="s">
        <v>239</v>
      </c>
      <c r="E147" s="13" t="s">
        <v>251</v>
      </c>
      <c r="F147" s="15">
        <f>2702*1.16</f>
        <v>3134.3199999999997</v>
      </c>
      <c r="G147" s="47">
        <f t="shared" si="4"/>
        <v>3134.33</v>
      </c>
    </row>
    <row r="148" spans="2:7" s="24" customFormat="1" ht="30" x14ac:dyDescent="0.25">
      <c r="B148" s="82" t="s">
        <v>5</v>
      </c>
      <c r="C148" s="76">
        <v>9</v>
      </c>
      <c r="D148" s="77" t="s">
        <v>240</v>
      </c>
      <c r="E148" s="13" t="s">
        <v>252</v>
      </c>
      <c r="F148" s="15">
        <v>2099.6</v>
      </c>
      <c r="G148" s="47">
        <f t="shared" si="4"/>
        <v>18896.409999999996</v>
      </c>
    </row>
    <row r="149" spans="2:7" s="24" customFormat="1" ht="30" x14ac:dyDescent="0.25">
      <c r="B149" s="82" t="s">
        <v>5</v>
      </c>
      <c r="C149" s="76">
        <v>1</v>
      </c>
      <c r="D149" s="77" t="s">
        <v>241</v>
      </c>
      <c r="E149" s="13" t="s">
        <v>251</v>
      </c>
      <c r="F149" s="15">
        <f>4603*1.16</f>
        <v>5339.48</v>
      </c>
      <c r="G149" s="47">
        <f t="shared" si="4"/>
        <v>5339.49</v>
      </c>
    </row>
    <row r="150" spans="2:7" s="24" customFormat="1" ht="60" x14ac:dyDescent="0.25">
      <c r="B150" s="82" t="s">
        <v>5</v>
      </c>
      <c r="C150" s="76">
        <v>4</v>
      </c>
      <c r="D150" s="77" t="s">
        <v>242</v>
      </c>
      <c r="E150" s="13" t="s">
        <v>253</v>
      </c>
      <c r="F150" s="15">
        <f>17532.24</f>
        <v>17532.240000000002</v>
      </c>
      <c r="G150" s="47">
        <f t="shared" si="4"/>
        <v>70128.97</v>
      </c>
    </row>
    <row r="151" spans="2:7" s="24" customFormat="1" ht="30" x14ac:dyDescent="0.25">
      <c r="B151" s="82" t="s">
        <v>5</v>
      </c>
      <c r="C151" s="76">
        <v>1</v>
      </c>
      <c r="D151" s="77" t="s">
        <v>243</v>
      </c>
      <c r="E151" s="13" t="s">
        <v>251</v>
      </c>
      <c r="F151" s="15">
        <v>20221.12</v>
      </c>
      <c r="G151" s="47">
        <f t="shared" si="4"/>
        <v>20221.129999999997</v>
      </c>
    </row>
    <row r="152" spans="2:7" s="24" customFormat="1" ht="30" x14ac:dyDescent="0.25">
      <c r="B152" s="82" t="s">
        <v>5</v>
      </c>
      <c r="C152" s="76">
        <v>1</v>
      </c>
      <c r="D152" s="77" t="s">
        <v>244</v>
      </c>
      <c r="E152" s="13" t="s">
        <v>254</v>
      </c>
      <c r="F152" s="15">
        <v>21150.28</v>
      </c>
      <c r="G152" s="47">
        <f t="shared" si="4"/>
        <v>21150.289999999997</v>
      </c>
    </row>
    <row r="153" spans="2:7" s="24" customFormat="1" ht="30" x14ac:dyDescent="0.25">
      <c r="B153" s="82" t="s">
        <v>5</v>
      </c>
      <c r="C153" s="76">
        <v>2</v>
      </c>
      <c r="D153" s="77" t="s">
        <v>245</v>
      </c>
      <c r="E153" s="13" t="s">
        <v>255</v>
      </c>
      <c r="F153" s="15">
        <f>5959*1.16</f>
        <v>6912.44</v>
      </c>
      <c r="G153" s="47">
        <f>+C153*F153+0.38</f>
        <v>13825.259999999998</v>
      </c>
    </row>
    <row r="154" spans="2:7" s="24" customFormat="1" ht="30" x14ac:dyDescent="0.25">
      <c r="B154" s="82" t="s">
        <v>5</v>
      </c>
      <c r="C154" s="76">
        <v>2</v>
      </c>
      <c r="D154" s="77" t="s">
        <v>246</v>
      </c>
      <c r="E154" s="13" t="s">
        <v>256</v>
      </c>
      <c r="F154" s="15">
        <f>8129*1.16</f>
        <v>9429.64</v>
      </c>
      <c r="G154" s="47">
        <f t="shared" si="4"/>
        <v>18859.289999999997</v>
      </c>
    </row>
    <row r="155" spans="2:7" s="24" customFormat="1" ht="30" x14ac:dyDescent="0.25">
      <c r="B155" s="82" t="s">
        <v>5</v>
      </c>
      <c r="C155" s="76">
        <v>2</v>
      </c>
      <c r="D155" s="77" t="s">
        <v>247</v>
      </c>
      <c r="E155" s="13" t="s">
        <v>251</v>
      </c>
      <c r="F155" s="15">
        <f>2099*1.16</f>
        <v>2434.8399999999997</v>
      </c>
      <c r="G155" s="47">
        <f t="shared" si="4"/>
        <v>4869.6899999999996</v>
      </c>
    </row>
    <row r="156" spans="2:7" s="24" customFormat="1" ht="30" x14ac:dyDescent="0.25">
      <c r="B156" s="82" t="s">
        <v>5</v>
      </c>
      <c r="C156" s="76">
        <v>1</v>
      </c>
      <c r="D156" s="77" t="s">
        <v>248</v>
      </c>
      <c r="E156" s="13" t="s">
        <v>251</v>
      </c>
      <c r="F156" s="15">
        <f>5991*1.16</f>
        <v>6949.5599999999995</v>
      </c>
      <c r="G156" s="47">
        <f t="shared" si="4"/>
        <v>6949.57</v>
      </c>
    </row>
    <row r="157" spans="2:7" s="24" customFormat="1" x14ac:dyDescent="0.25">
      <c r="B157" s="82" t="s">
        <v>6</v>
      </c>
      <c r="C157" s="12">
        <v>1</v>
      </c>
      <c r="D157" s="11" t="s">
        <v>88</v>
      </c>
      <c r="E157" s="13" t="s">
        <v>89</v>
      </c>
      <c r="F157" s="15">
        <v>1590</v>
      </c>
      <c r="G157" s="47">
        <f t="shared" si="0"/>
        <v>1590</v>
      </c>
    </row>
    <row r="158" spans="2:7" s="24" customFormat="1" x14ac:dyDescent="0.25">
      <c r="B158" s="82" t="s">
        <v>6</v>
      </c>
      <c r="C158" s="11">
        <v>1</v>
      </c>
      <c r="D158" s="11" t="s">
        <v>142</v>
      </c>
      <c r="E158" s="13" t="s">
        <v>141</v>
      </c>
      <c r="F158" s="15">
        <f>990.51*1.16</f>
        <v>1148.9915999999998</v>
      </c>
      <c r="G158" s="47">
        <f>+C158*F158+0.01</f>
        <v>1149.0015999999998</v>
      </c>
    </row>
    <row r="159" spans="2:7" s="24" customFormat="1" ht="30" x14ac:dyDescent="0.25">
      <c r="B159" s="82" t="s">
        <v>6</v>
      </c>
      <c r="C159" s="11">
        <v>1</v>
      </c>
      <c r="D159" s="11" t="s">
        <v>143</v>
      </c>
      <c r="E159" s="13" t="s">
        <v>141</v>
      </c>
      <c r="F159" s="15">
        <f>2800.86*1.16</f>
        <v>3248.9976000000001</v>
      </c>
      <c r="G159" s="47">
        <f t="shared" si="0"/>
        <v>3248.9976000000001</v>
      </c>
    </row>
    <row r="160" spans="2:7" s="24" customFormat="1" x14ac:dyDescent="0.25">
      <c r="B160" s="82" t="s">
        <v>6</v>
      </c>
      <c r="C160" s="11">
        <v>1</v>
      </c>
      <c r="D160" s="11" t="s">
        <v>144</v>
      </c>
      <c r="E160" s="13" t="s">
        <v>141</v>
      </c>
      <c r="F160" s="15">
        <f>2393.1*1.16</f>
        <v>2775.9959999999996</v>
      </c>
      <c r="G160" s="47">
        <f t="shared" si="0"/>
        <v>2775.9959999999996</v>
      </c>
    </row>
    <row r="161" spans="2:7" s="24" customFormat="1" x14ac:dyDescent="0.25">
      <c r="B161" s="83" t="s">
        <v>6</v>
      </c>
      <c r="C161" s="36">
        <v>1</v>
      </c>
      <c r="D161" s="36" t="s">
        <v>180</v>
      </c>
      <c r="E161" s="37" t="s">
        <v>184</v>
      </c>
      <c r="F161" s="15">
        <v>1595</v>
      </c>
      <c r="G161" s="47">
        <f t="shared" si="0"/>
        <v>1595</v>
      </c>
    </row>
    <row r="162" spans="2:7" s="24" customFormat="1" ht="30" x14ac:dyDescent="0.25">
      <c r="B162" s="83" t="s">
        <v>6</v>
      </c>
      <c r="C162" s="36">
        <v>1</v>
      </c>
      <c r="D162" s="50" t="s">
        <v>181</v>
      </c>
      <c r="E162" s="37" t="s">
        <v>178</v>
      </c>
      <c r="F162" s="15">
        <v>10788</v>
      </c>
      <c r="G162" s="47">
        <f t="shared" ref="G162:G169" si="5">+C162*F162</f>
        <v>10788</v>
      </c>
    </row>
    <row r="163" spans="2:7" s="24" customFormat="1" ht="30" x14ac:dyDescent="0.25">
      <c r="B163" s="83" t="s">
        <v>6</v>
      </c>
      <c r="C163" s="36">
        <v>2</v>
      </c>
      <c r="D163" s="50" t="s">
        <v>182</v>
      </c>
      <c r="E163" s="37" t="s">
        <v>210</v>
      </c>
      <c r="F163" s="15">
        <f>1025.86*1.16</f>
        <v>1189.9975999999997</v>
      </c>
      <c r="G163" s="47">
        <f t="shared" si="5"/>
        <v>2379.9951999999994</v>
      </c>
    </row>
    <row r="164" spans="2:7" s="24" customFormat="1" x14ac:dyDescent="0.25">
      <c r="B164" s="83" t="s">
        <v>6</v>
      </c>
      <c r="C164" s="36">
        <v>1</v>
      </c>
      <c r="D164" s="50" t="s">
        <v>183</v>
      </c>
      <c r="E164" s="37" t="s">
        <v>212</v>
      </c>
      <c r="F164" s="15">
        <v>2590.0016000000005</v>
      </c>
      <c r="G164" s="47">
        <f t="shared" si="5"/>
        <v>2590.0016000000005</v>
      </c>
    </row>
    <row r="165" spans="2:7" s="24" customFormat="1" x14ac:dyDescent="0.25">
      <c r="B165" s="83" t="s">
        <v>6</v>
      </c>
      <c r="C165" s="36">
        <v>1</v>
      </c>
      <c r="D165" s="50" t="s">
        <v>195</v>
      </c>
      <c r="E165" s="37" t="s">
        <v>211</v>
      </c>
      <c r="F165" s="15">
        <v>950</v>
      </c>
      <c r="G165" s="47">
        <f t="shared" si="5"/>
        <v>950</v>
      </c>
    </row>
    <row r="166" spans="2:7" s="24" customFormat="1" x14ac:dyDescent="0.25">
      <c r="B166" s="82" t="s">
        <v>6</v>
      </c>
      <c r="C166" s="76">
        <v>2</v>
      </c>
      <c r="D166" s="77" t="s">
        <v>222</v>
      </c>
      <c r="E166" s="13" t="s">
        <v>223</v>
      </c>
      <c r="F166" s="15">
        <v>1270.76</v>
      </c>
      <c r="G166" s="47">
        <f t="shared" si="5"/>
        <v>2541.52</v>
      </c>
    </row>
    <row r="167" spans="2:7" s="24" customFormat="1" ht="30" x14ac:dyDescent="0.25">
      <c r="B167" s="82" t="s">
        <v>6</v>
      </c>
      <c r="C167" s="76">
        <v>2</v>
      </c>
      <c r="D167" s="77" t="s">
        <v>231</v>
      </c>
      <c r="E167" s="13" t="s">
        <v>141</v>
      </c>
      <c r="F167" s="15">
        <f>870.69*1.16</f>
        <v>1010.0004</v>
      </c>
      <c r="G167" s="47">
        <f t="shared" si="5"/>
        <v>2020.0008</v>
      </c>
    </row>
    <row r="168" spans="2:7" s="24" customFormat="1" x14ac:dyDescent="0.25">
      <c r="B168" s="82" t="s">
        <v>6</v>
      </c>
      <c r="C168" s="76">
        <v>1</v>
      </c>
      <c r="D168" s="77" t="s">
        <v>232</v>
      </c>
      <c r="E168" s="13" t="s">
        <v>141</v>
      </c>
      <c r="F168" s="15">
        <v>1185</v>
      </c>
      <c r="G168" s="47">
        <f t="shared" si="5"/>
        <v>1185</v>
      </c>
    </row>
    <row r="169" spans="2:7" s="24" customFormat="1" x14ac:dyDescent="0.25">
      <c r="B169" s="82" t="s">
        <v>6</v>
      </c>
      <c r="C169" s="76">
        <v>1</v>
      </c>
      <c r="D169" s="77" t="s">
        <v>233</v>
      </c>
      <c r="E169" s="13" t="s">
        <v>201</v>
      </c>
      <c r="F169" s="15">
        <v>1799</v>
      </c>
      <c r="G169" s="47">
        <f t="shared" si="5"/>
        <v>1799</v>
      </c>
    </row>
    <row r="170" spans="2:7" s="24" customFormat="1" ht="30" x14ac:dyDescent="0.25">
      <c r="B170" s="81" t="s">
        <v>7</v>
      </c>
      <c r="C170" s="60"/>
      <c r="D170" s="61"/>
      <c r="E170" s="62"/>
      <c r="F170" s="63"/>
      <c r="G170" s="64">
        <f>SUM(G171:G187)</f>
        <v>80301.011599999998</v>
      </c>
    </row>
    <row r="171" spans="2:7" s="24" customFormat="1" ht="30" x14ac:dyDescent="0.25">
      <c r="B171" s="83" t="s">
        <v>8</v>
      </c>
      <c r="C171" s="38">
        <v>2</v>
      </c>
      <c r="D171" s="34" t="s">
        <v>119</v>
      </c>
      <c r="E171" s="32" t="s">
        <v>120</v>
      </c>
      <c r="F171" s="39">
        <v>1680.84</v>
      </c>
      <c r="G171" s="46">
        <f>+C171*F171+0.02</f>
        <v>3361.7</v>
      </c>
    </row>
    <row r="172" spans="2:7" s="24" customFormat="1" x14ac:dyDescent="0.25">
      <c r="B172" s="83" t="s">
        <v>8</v>
      </c>
      <c r="C172" s="34">
        <v>1</v>
      </c>
      <c r="D172" s="34" t="s">
        <v>185</v>
      </c>
      <c r="E172" s="32" t="s">
        <v>178</v>
      </c>
      <c r="F172" s="35">
        <v>2325.8000000000002</v>
      </c>
      <c r="G172" s="46">
        <f t="shared" ref="G172:G185" si="6">+C172*F172</f>
        <v>2325.8000000000002</v>
      </c>
    </row>
    <row r="173" spans="2:7" s="24" customFormat="1" x14ac:dyDescent="0.25">
      <c r="B173" s="83" t="s">
        <v>8</v>
      </c>
      <c r="C173" s="11">
        <v>1</v>
      </c>
      <c r="D173" s="11" t="s">
        <v>185</v>
      </c>
      <c r="E173" s="37" t="s">
        <v>212</v>
      </c>
      <c r="F173" s="17">
        <v>2325.8000000000002</v>
      </c>
      <c r="G173" s="46">
        <f t="shared" si="6"/>
        <v>2325.8000000000002</v>
      </c>
    </row>
    <row r="174" spans="2:7" s="24" customFormat="1" x14ac:dyDescent="0.25">
      <c r="B174" s="83" t="s">
        <v>8</v>
      </c>
      <c r="C174" s="70">
        <v>1</v>
      </c>
      <c r="D174" s="71" t="s">
        <v>186</v>
      </c>
      <c r="E174" s="37" t="s">
        <v>212</v>
      </c>
      <c r="F174" s="72">
        <v>6598.9964</v>
      </c>
      <c r="G174" s="46">
        <f t="shared" si="6"/>
        <v>6598.9964</v>
      </c>
    </row>
    <row r="175" spans="2:7" s="24" customFormat="1" x14ac:dyDescent="0.25">
      <c r="B175" s="83" t="s">
        <v>8</v>
      </c>
      <c r="C175" s="70">
        <v>1</v>
      </c>
      <c r="D175" s="73" t="s">
        <v>208</v>
      </c>
      <c r="E175" s="13" t="s">
        <v>141</v>
      </c>
      <c r="F175" s="74">
        <v>800.98</v>
      </c>
      <c r="G175" s="46">
        <f t="shared" si="6"/>
        <v>800.98</v>
      </c>
    </row>
    <row r="176" spans="2:7" s="24" customFormat="1" x14ac:dyDescent="0.25">
      <c r="B176" s="83" t="s">
        <v>8</v>
      </c>
      <c r="C176" s="70">
        <v>2</v>
      </c>
      <c r="D176" s="71" t="s">
        <v>224</v>
      </c>
      <c r="E176" s="37" t="s">
        <v>201</v>
      </c>
      <c r="F176" s="72">
        <v>469</v>
      </c>
      <c r="G176" s="46">
        <f>+C176*F176</f>
        <v>938</v>
      </c>
    </row>
    <row r="177" spans="2:7" s="24" customFormat="1" ht="45" x14ac:dyDescent="0.25">
      <c r="B177" s="83" t="s">
        <v>8</v>
      </c>
      <c r="C177" s="70">
        <v>1</v>
      </c>
      <c r="D177" s="71" t="s">
        <v>296</v>
      </c>
      <c r="E177" s="37" t="s">
        <v>283</v>
      </c>
      <c r="F177" s="72">
        <v>4316.0200000000004</v>
      </c>
      <c r="G177" s="46">
        <f t="shared" ref="G177:G182" si="7">+C177*F177</f>
        <v>4316.0200000000004</v>
      </c>
    </row>
    <row r="178" spans="2:7" s="24" customFormat="1" ht="45" x14ac:dyDescent="0.25">
      <c r="B178" s="83" t="s">
        <v>8</v>
      </c>
      <c r="C178" s="70">
        <v>1</v>
      </c>
      <c r="D178" s="71" t="s">
        <v>296</v>
      </c>
      <c r="E178" s="37" t="s">
        <v>301</v>
      </c>
      <c r="F178" s="72">
        <v>3396.02</v>
      </c>
      <c r="G178" s="46">
        <f t="shared" si="7"/>
        <v>3396.02</v>
      </c>
    </row>
    <row r="179" spans="2:7" s="24" customFormat="1" x14ac:dyDescent="0.25">
      <c r="B179" s="83" t="s">
        <v>8</v>
      </c>
      <c r="C179" s="70">
        <v>1</v>
      </c>
      <c r="D179" s="71" t="s">
        <v>297</v>
      </c>
      <c r="E179" s="37" t="s">
        <v>301</v>
      </c>
      <c r="F179" s="72">
        <f>7609*1.16</f>
        <v>8826.4399999999987</v>
      </c>
      <c r="G179" s="46">
        <f t="shared" si="7"/>
        <v>8826.4399999999987</v>
      </c>
    </row>
    <row r="180" spans="2:7" s="24" customFormat="1" x14ac:dyDescent="0.25">
      <c r="B180" s="83" t="s">
        <v>8</v>
      </c>
      <c r="C180" s="70">
        <v>10</v>
      </c>
      <c r="D180" s="71" t="s">
        <v>298</v>
      </c>
      <c r="E180" s="37" t="s">
        <v>302</v>
      </c>
      <c r="F180" s="72">
        <v>228.99</v>
      </c>
      <c r="G180" s="46">
        <f t="shared" si="7"/>
        <v>2289.9</v>
      </c>
    </row>
    <row r="181" spans="2:7" s="24" customFormat="1" ht="30" x14ac:dyDescent="0.25">
      <c r="B181" s="83" t="s">
        <v>8</v>
      </c>
      <c r="C181" s="70">
        <v>10</v>
      </c>
      <c r="D181" s="71" t="s">
        <v>299</v>
      </c>
      <c r="E181" s="37" t="s">
        <v>302</v>
      </c>
      <c r="F181" s="72">
        <v>497.64</v>
      </c>
      <c r="G181" s="46">
        <f t="shared" si="7"/>
        <v>4976.3999999999996</v>
      </c>
    </row>
    <row r="182" spans="2:7" s="24" customFormat="1" ht="30" x14ac:dyDescent="0.25">
      <c r="B182" s="83" t="s">
        <v>8</v>
      </c>
      <c r="C182" s="70">
        <v>1</v>
      </c>
      <c r="D182" s="71" t="s">
        <v>300</v>
      </c>
      <c r="E182" s="37" t="s">
        <v>283</v>
      </c>
      <c r="F182" s="72">
        <f>10309.29*1.16</f>
        <v>11958.776400000001</v>
      </c>
      <c r="G182" s="46">
        <f t="shared" si="7"/>
        <v>11958.776400000001</v>
      </c>
    </row>
    <row r="183" spans="2:7" s="24" customFormat="1" hidden="1" x14ac:dyDescent="0.25">
      <c r="B183" s="83"/>
      <c r="C183" s="70"/>
      <c r="D183" s="71"/>
      <c r="E183" s="37"/>
      <c r="F183" s="72"/>
      <c r="G183" s="46"/>
    </row>
    <row r="184" spans="2:7" s="24" customFormat="1" hidden="1" x14ac:dyDescent="0.25">
      <c r="B184" s="83" t="s">
        <v>9</v>
      </c>
      <c r="C184" s="70">
        <v>0</v>
      </c>
      <c r="D184" s="71"/>
      <c r="E184" s="37"/>
      <c r="F184" s="72">
        <v>0</v>
      </c>
      <c r="G184" s="46">
        <f t="shared" si="6"/>
        <v>0</v>
      </c>
    </row>
    <row r="185" spans="2:7" s="24" customFormat="1" x14ac:dyDescent="0.25">
      <c r="B185" s="83" t="s">
        <v>10</v>
      </c>
      <c r="C185" s="70">
        <v>1</v>
      </c>
      <c r="D185" s="71" t="s">
        <v>225</v>
      </c>
      <c r="E185" s="37" t="s">
        <v>227</v>
      </c>
      <c r="F185" s="72">
        <v>11622.875199999999</v>
      </c>
      <c r="G185" s="46">
        <f t="shared" si="6"/>
        <v>11622.875199999999</v>
      </c>
    </row>
    <row r="186" spans="2:7" s="24" customFormat="1" x14ac:dyDescent="0.25">
      <c r="B186" s="83" t="s">
        <v>10</v>
      </c>
      <c r="C186" s="70">
        <v>1</v>
      </c>
      <c r="D186" s="71" t="s">
        <v>226</v>
      </c>
      <c r="E186" s="37" t="s">
        <v>227</v>
      </c>
      <c r="F186" s="72">
        <v>1889.3036</v>
      </c>
      <c r="G186" s="46">
        <f>+C186*F186</f>
        <v>1889.3036</v>
      </c>
    </row>
    <row r="187" spans="2:7" ht="45" x14ac:dyDescent="0.25">
      <c r="B187" s="83" t="s">
        <v>10</v>
      </c>
      <c r="C187" s="70">
        <v>1</v>
      </c>
      <c r="D187" s="71" t="s">
        <v>303</v>
      </c>
      <c r="E187" s="37" t="s">
        <v>251</v>
      </c>
      <c r="F187" s="72">
        <v>14674</v>
      </c>
      <c r="G187" s="46">
        <f>+C187*F187</f>
        <v>14674</v>
      </c>
    </row>
    <row r="188" spans="2:7" s="24" customFormat="1" ht="30" x14ac:dyDescent="0.25">
      <c r="B188" s="81" t="s">
        <v>11</v>
      </c>
      <c r="C188" s="60"/>
      <c r="D188" s="61"/>
      <c r="E188" s="62"/>
      <c r="F188" s="63"/>
      <c r="G188" s="64">
        <f>SUM(G189:G190)</f>
        <v>3479.9999999999995</v>
      </c>
    </row>
    <row r="189" spans="2:7" s="24" customFormat="1" hidden="1" x14ac:dyDescent="0.25">
      <c r="B189" s="82" t="s">
        <v>12</v>
      </c>
      <c r="C189" s="12">
        <v>0</v>
      </c>
      <c r="D189" s="11"/>
      <c r="E189" s="13"/>
      <c r="F189" s="14">
        <v>0</v>
      </c>
      <c r="G189" s="46">
        <f t="shared" ref="G189:G190" si="8">+C189*F189</f>
        <v>0</v>
      </c>
    </row>
    <row r="190" spans="2:7" s="24" customFormat="1" x14ac:dyDescent="0.25">
      <c r="B190" s="83" t="s">
        <v>13</v>
      </c>
      <c r="C190" s="70">
        <v>2</v>
      </c>
      <c r="D190" s="71" t="s">
        <v>306</v>
      </c>
      <c r="E190" s="37" t="s">
        <v>307</v>
      </c>
      <c r="F190" s="72">
        <f>1500*1.16</f>
        <v>1739.9999999999998</v>
      </c>
      <c r="G190" s="46">
        <f t="shared" si="8"/>
        <v>3479.9999999999995</v>
      </c>
    </row>
    <row r="191" spans="2:7" s="24" customFormat="1" hidden="1" x14ac:dyDescent="0.25">
      <c r="B191" s="82"/>
      <c r="C191" s="12"/>
      <c r="D191" s="11"/>
      <c r="E191" s="13"/>
      <c r="F191" s="14"/>
      <c r="G191" s="46"/>
    </row>
    <row r="192" spans="2:7" s="24" customFormat="1" x14ac:dyDescent="0.25">
      <c r="B192" s="81" t="s">
        <v>14</v>
      </c>
      <c r="C192" s="60"/>
      <c r="D192" s="61"/>
      <c r="E192" s="62"/>
      <c r="F192" s="63"/>
      <c r="G192" s="64">
        <f>SUM(G193:G204)</f>
        <v>1564000.0016000001</v>
      </c>
    </row>
    <row r="193" spans="2:7" s="24" customFormat="1" ht="30" x14ac:dyDescent="0.25">
      <c r="B193" s="82" t="s">
        <v>15</v>
      </c>
      <c r="C193" s="12">
        <v>1</v>
      </c>
      <c r="D193" s="11" t="s">
        <v>77</v>
      </c>
      <c r="E193" s="13" t="s">
        <v>82</v>
      </c>
      <c r="F193" s="14">
        <v>370000</v>
      </c>
      <c r="G193" s="46">
        <f t="shared" ref="G193:G204" si="9">+C193*F193</f>
        <v>370000</v>
      </c>
    </row>
    <row r="194" spans="2:7" s="24" customFormat="1" ht="30" x14ac:dyDescent="0.25">
      <c r="B194" s="82" t="s">
        <v>15</v>
      </c>
      <c r="C194" s="12">
        <v>1</v>
      </c>
      <c r="D194" s="11" t="s">
        <v>78</v>
      </c>
      <c r="E194" s="13" t="s">
        <v>79</v>
      </c>
      <c r="F194" s="14">
        <v>120000</v>
      </c>
      <c r="G194" s="46">
        <f t="shared" si="9"/>
        <v>120000</v>
      </c>
    </row>
    <row r="195" spans="2:7" s="24" customFormat="1" ht="108.75" customHeight="1" x14ac:dyDescent="0.25">
      <c r="B195" s="83" t="s">
        <v>15</v>
      </c>
      <c r="C195" s="50">
        <v>1</v>
      </c>
      <c r="D195" s="51" t="s">
        <v>187</v>
      </c>
      <c r="E195" s="37" t="s">
        <v>141</v>
      </c>
      <c r="F195" s="39">
        <v>145000</v>
      </c>
      <c r="G195" s="46">
        <f t="shared" si="9"/>
        <v>145000</v>
      </c>
    </row>
    <row r="196" spans="2:7" s="24" customFormat="1" ht="84.75" customHeight="1" x14ac:dyDescent="0.25">
      <c r="B196" s="83" t="s">
        <v>15</v>
      </c>
      <c r="C196" s="50">
        <v>1</v>
      </c>
      <c r="D196" s="51" t="s">
        <v>188</v>
      </c>
      <c r="E196" s="50" t="s">
        <v>191</v>
      </c>
      <c r="F196" s="39">
        <v>169500.00040000002</v>
      </c>
      <c r="G196" s="46">
        <f t="shared" si="9"/>
        <v>169500.00040000002</v>
      </c>
    </row>
    <row r="197" spans="2:7" s="24" customFormat="1" ht="80.25" customHeight="1" x14ac:dyDescent="0.25">
      <c r="B197" s="83" t="s">
        <v>15</v>
      </c>
      <c r="C197" s="50">
        <v>1</v>
      </c>
      <c r="D197" s="51" t="s">
        <v>189</v>
      </c>
      <c r="E197" s="50" t="s">
        <v>192</v>
      </c>
      <c r="F197" s="39">
        <v>234499.99720000001</v>
      </c>
      <c r="G197" s="46">
        <f t="shared" si="9"/>
        <v>234499.99720000001</v>
      </c>
    </row>
    <row r="198" spans="2:7" s="24" customFormat="1" ht="95.25" customHeight="1" x14ac:dyDescent="0.25">
      <c r="B198" s="83" t="s">
        <v>15</v>
      </c>
      <c r="C198" s="70">
        <v>1</v>
      </c>
      <c r="D198" s="71" t="s">
        <v>190</v>
      </c>
      <c r="E198" s="37" t="s">
        <v>193</v>
      </c>
      <c r="F198" s="72">
        <v>245000.00399999999</v>
      </c>
      <c r="G198" s="46">
        <f>+C198*F198</f>
        <v>245000.00399999999</v>
      </c>
    </row>
    <row r="199" spans="2:7" x14ac:dyDescent="0.25">
      <c r="B199" s="83" t="s">
        <v>15</v>
      </c>
      <c r="C199" s="70">
        <v>1</v>
      </c>
      <c r="D199" s="71" t="s">
        <v>294</v>
      </c>
      <c r="E199" s="37" t="s">
        <v>250</v>
      </c>
      <c r="F199" s="72">
        <v>280000</v>
      </c>
      <c r="G199" s="46">
        <f>+C199*F199</f>
        <v>280000</v>
      </c>
    </row>
    <row r="200" spans="2:7" s="24" customFormat="1" hidden="1" x14ac:dyDescent="0.25">
      <c r="B200" s="82" t="s">
        <v>16</v>
      </c>
      <c r="C200" s="12">
        <v>0</v>
      </c>
      <c r="D200" s="11"/>
      <c r="E200" s="13"/>
      <c r="F200" s="14">
        <v>0</v>
      </c>
      <c r="G200" s="46">
        <f t="shared" si="9"/>
        <v>0</v>
      </c>
    </row>
    <row r="201" spans="2:7" s="24" customFormat="1" hidden="1" x14ac:dyDescent="0.25">
      <c r="B201" s="82" t="s">
        <v>17</v>
      </c>
      <c r="C201" s="12">
        <v>0</v>
      </c>
      <c r="D201" s="11"/>
      <c r="E201" s="13"/>
      <c r="F201" s="14">
        <v>0</v>
      </c>
      <c r="G201" s="46">
        <f t="shared" si="9"/>
        <v>0</v>
      </c>
    </row>
    <row r="202" spans="2:7" s="24" customFormat="1" hidden="1" x14ac:dyDescent="0.25">
      <c r="B202" s="82" t="s">
        <v>18</v>
      </c>
      <c r="C202" s="12">
        <v>0</v>
      </c>
      <c r="D202" s="11"/>
      <c r="E202" s="13"/>
      <c r="F202" s="14">
        <v>0</v>
      </c>
      <c r="G202" s="46">
        <f t="shared" si="9"/>
        <v>0</v>
      </c>
    </row>
    <row r="203" spans="2:7" s="24" customFormat="1" hidden="1" x14ac:dyDescent="0.25">
      <c r="B203" s="82" t="s">
        <v>19</v>
      </c>
      <c r="C203" s="12">
        <v>0</v>
      </c>
      <c r="D203" s="11"/>
      <c r="E203" s="13"/>
      <c r="F203" s="14">
        <v>0</v>
      </c>
      <c r="G203" s="46">
        <f t="shared" si="9"/>
        <v>0</v>
      </c>
    </row>
    <row r="204" spans="2:7" s="24" customFormat="1" hidden="1" x14ac:dyDescent="0.25">
      <c r="B204" s="82" t="s">
        <v>20</v>
      </c>
      <c r="C204" s="12">
        <v>0</v>
      </c>
      <c r="D204" s="11"/>
      <c r="E204" s="13"/>
      <c r="F204" s="14">
        <v>0</v>
      </c>
      <c r="G204" s="46">
        <f t="shared" si="9"/>
        <v>0</v>
      </c>
    </row>
    <row r="205" spans="2:7" s="24" customFormat="1" hidden="1" x14ac:dyDescent="0.25">
      <c r="B205" s="84" t="s">
        <v>21</v>
      </c>
      <c r="C205" s="12"/>
      <c r="D205" s="18"/>
      <c r="E205" s="19"/>
      <c r="F205" s="20"/>
      <c r="G205" s="45">
        <f>+G206</f>
        <v>0</v>
      </c>
    </row>
    <row r="206" spans="2:7" s="24" customFormat="1" hidden="1" x14ac:dyDescent="0.25">
      <c r="B206" s="82" t="s">
        <v>22</v>
      </c>
      <c r="C206" s="12">
        <v>0</v>
      </c>
      <c r="D206" s="11"/>
      <c r="E206" s="13"/>
      <c r="F206" s="14">
        <v>0</v>
      </c>
      <c r="G206" s="46">
        <f>+C206*F206</f>
        <v>0</v>
      </c>
    </row>
    <row r="207" spans="2:7" s="24" customFormat="1" ht="30" x14ac:dyDescent="0.25">
      <c r="B207" s="81" t="s">
        <v>23</v>
      </c>
      <c r="C207" s="60"/>
      <c r="D207" s="61"/>
      <c r="E207" s="62"/>
      <c r="F207" s="63"/>
      <c r="G207" s="64">
        <f>SUM(G208:G220)</f>
        <v>44713.768400000001</v>
      </c>
    </row>
    <row r="208" spans="2:7" s="24" customFormat="1" hidden="1" x14ac:dyDescent="0.25">
      <c r="B208" s="82" t="s">
        <v>24</v>
      </c>
      <c r="C208" s="12">
        <v>0</v>
      </c>
      <c r="D208" s="11"/>
      <c r="E208" s="13"/>
      <c r="F208" s="14">
        <v>0</v>
      </c>
      <c r="G208" s="46">
        <f t="shared" ref="G208:G220" si="10">+C208*F208</f>
        <v>0</v>
      </c>
    </row>
    <row r="209" spans="2:7" s="24" customFormat="1" hidden="1" x14ac:dyDescent="0.25">
      <c r="B209" s="82" t="s">
        <v>25</v>
      </c>
      <c r="C209" s="12">
        <v>0</v>
      </c>
      <c r="D209" s="11"/>
      <c r="E209" s="13"/>
      <c r="F209" s="14">
        <v>0</v>
      </c>
      <c r="G209" s="46">
        <f t="shared" si="10"/>
        <v>0</v>
      </c>
    </row>
    <row r="210" spans="2:7" s="24" customFormat="1" hidden="1" x14ac:dyDescent="0.25">
      <c r="B210" s="82" t="s">
        <v>26</v>
      </c>
      <c r="C210" s="12">
        <v>0</v>
      </c>
      <c r="D210" s="11"/>
      <c r="E210" s="13"/>
      <c r="F210" s="14">
        <v>0</v>
      </c>
      <c r="G210" s="46">
        <f t="shared" si="10"/>
        <v>0</v>
      </c>
    </row>
    <row r="211" spans="2:7" s="24" customFormat="1" hidden="1" x14ac:dyDescent="0.25">
      <c r="B211" s="82" t="s">
        <v>40</v>
      </c>
      <c r="C211" s="12">
        <v>0</v>
      </c>
      <c r="D211" s="11"/>
      <c r="E211" s="13"/>
      <c r="F211" s="14">
        <v>0</v>
      </c>
      <c r="G211" s="46">
        <f t="shared" si="10"/>
        <v>0</v>
      </c>
    </row>
    <row r="212" spans="2:7" s="24" customFormat="1" ht="30" x14ac:dyDescent="0.25">
      <c r="B212" s="83" t="s">
        <v>27</v>
      </c>
      <c r="C212" s="70">
        <v>1</v>
      </c>
      <c r="D212" s="71" t="s">
        <v>83</v>
      </c>
      <c r="E212" s="37" t="s">
        <v>82</v>
      </c>
      <c r="F212" s="72">
        <v>6999</v>
      </c>
      <c r="G212" s="46">
        <f t="shared" si="10"/>
        <v>6999</v>
      </c>
    </row>
    <row r="213" spans="2:7" s="24" customFormat="1" ht="30" x14ac:dyDescent="0.25">
      <c r="B213" s="83" t="s">
        <v>27</v>
      </c>
      <c r="C213" s="70">
        <v>1</v>
      </c>
      <c r="D213" s="71" t="s">
        <v>156</v>
      </c>
      <c r="E213" s="37" t="s">
        <v>157</v>
      </c>
      <c r="F213" s="72">
        <f>1895.69*1.16</f>
        <v>2199.0003999999999</v>
      </c>
      <c r="G213" s="46">
        <f t="shared" si="10"/>
        <v>2199.0003999999999</v>
      </c>
    </row>
    <row r="214" spans="2:7" ht="30" x14ac:dyDescent="0.25">
      <c r="B214" s="83" t="s">
        <v>27</v>
      </c>
      <c r="C214" s="70">
        <v>1</v>
      </c>
      <c r="D214" s="71" t="s">
        <v>295</v>
      </c>
      <c r="E214" s="37" t="s">
        <v>157</v>
      </c>
      <c r="F214" s="72">
        <v>2949</v>
      </c>
      <c r="G214" s="46">
        <f t="shared" si="10"/>
        <v>2949</v>
      </c>
    </row>
    <row r="215" spans="2:7" s="24" customFormat="1" ht="30" x14ac:dyDescent="0.25">
      <c r="B215" s="83" t="s">
        <v>41</v>
      </c>
      <c r="C215" s="70">
        <v>25</v>
      </c>
      <c r="D215" s="71" t="s">
        <v>158</v>
      </c>
      <c r="E215" s="37" t="s">
        <v>159</v>
      </c>
      <c r="F215" s="72">
        <f>235*1.16</f>
        <v>272.59999999999997</v>
      </c>
      <c r="G215" s="46">
        <f>+C215*F215</f>
        <v>6814.9999999999991</v>
      </c>
    </row>
    <row r="216" spans="2:7" s="24" customFormat="1" ht="30" x14ac:dyDescent="0.25">
      <c r="B216" s="83" t="s">
        <v>41</v>
      </c>
      <c r="C216" s="70">
        <v>10</v>
      </c>
      <c r="D216" s="71" t="s">
        <v>194</v>
      </c>
      <c r="E216" s="37" t="s">
        <v>159</v>
      </c>
      <c r="F216" s="72">
        <f>1150*1.16</f>
        <v>1334</v>
      </c>
      <c r="G216" s="46">
        <f>+C216*F216</f>
        <v>13340</v>
      </c>
    </row>
    <row r="217" spans="2:7" s="24" customFormat="1" ht="30" x14ac:dyDescent="0.25">
      <c r="B217" s="83" t="s">
        <v>41</v>
      </c>
      <c r="C217" s="70">
        <v>6</v>
      </c>
      <c r="D217" s="71" t="s">
        <v>304</v>
      </c>
      <c r="E217" s="37" t="s">
        <v>252</v>
      </c>
      <c r="F217" s="72">
        <v>1252.8</v>
      </c>
      <c r="G217" s="46">
        <f t="shared" ref="G217:G218" si="11">+C217*F217</f>
        <v>7516.7999999999993</v>
      </c>
    </row>
    <row r="218" spans="2:7" s="24" customFormat="1" ht="30" x14ac:dyDescent="0.25">
      <c r="B218" s="83" t="s">
        <v>41</v>
      </c>
      <c r="C218" s="70">
        <v>5</v>
      </c>
      <c r="D218" s="71" t="s">
        <v>305</v>
      </c>
      <c r="E218" s="37" t="s">
        <v>252</v>
      </c>
      <c r="F218" s="72">
        <f>843.96*1.16</f>
        <v>978.99360000000001</v>
      </c>
      <c r="G218" s="46">
        <f t="shared" si="11"/>
        <v>4894.9679999999998</v>
      </c>
    </row>
    <row r="219" spans="2:7" s="24" customFormat="1" hidden="1" x14ac:dyDescent="0.25">
      <c r="B219" s="83" t="s">
        <v>28</v>
      </c>
      <c r="C219" s="38">
        <v>0</v>
      </c>
      <c r="D219" s="34"/>
      <c r="E219" s="13"/>
      <c r="F219" s="14">
        <v>0</v>
      </c>
      <c r="G219" s="46">
        <f t="shared" si="10"/>
        <v>0</v>
      </c>
    </row>
    <row r="220" spans="2:7" s="24" customFormat="1" hidden="1" x14ac:dyDescent="0.25">
      <c r="B220" s="82" t="s">
        <v>29</v>
      </c>
      <c r="C220" s="12">
        <v>0</v>
      </c>
      <c r="D220" s="11"/>
      <c r="E220" s="13"/>
      <c r="F220" s="14">
        <v>0</v>
      </c>
      <c r="G220" s="46">
        <f t="shared" si="10"/>
        <v>0</v>
      </c>
    </row>
    <row r="221" spans="2:7" s="24" customFormat="1" hidden="1" x14ac:dyDescent="0.25">
      <c r="B221" s="84" t="s">
        <v>30</v>
      </c>
      <c r="C221" s="12"/>
      <c r="D221" s="18"/>
      <c r="E221" s="19"/>
      <c r="F221" s="20"/>
      <c r="G221" s="45">
        <f>SUM(G222:G230)</f>
        <v>0</v>
      </c>
    </row>
    <row r="222" spans="2:7" s="24" customFormat="1" hidden="1" x14ac:dyDescent="0.25">
      <c r="B222" s="82" t="s">
        <v>31</v>
      </c>
      <c r="C222" s="12">
        <v>0</v>
      </c>
      <c r="D222" s="11"/>
      <c r="E222" s="13"/>
      <c r="F222" s="14">
        <v>0</v>
      </c>
      <c r="G222" s="46">
        <f t="shared" ref="G222:G230" si="12">+C222*F222</f>
        <v>0</v>
      </c>
    </row>
    <row r="223" spans="2:7" s="24" customFormat="1" hidden="1" x14ac:dyDescent="0.25">
      <c r="B223" s="82" t="s">
        <v>32</v>
      </c>
      <c r="C223" s="12">
        <v>0</v>
      </c>
      <c r="D223" s="11"/>
      <c r="E223" s="13"/>
      <c r="F223" s="14">
        <v>0</v>
      </c>
      <c r="G223" s="46">
        <f t="shared" si="12"/>
        <v>0</v>
      </c>
    </row>
    <row r="224" spans="2:7" s="24" customFormat="1" hidden="1" x14ac:dyDescent="0.25">
      <c r="B224" s="82" t="s">
        <v>33</v>
      </c>
      <c r="C224" s="12">
        <v>0</v>
      </c>
      <c r="D224" s="11"/>
      <c r="E224" s="13"/>
      <c r="F224" s="14">
        <v>0</v>
      </c>
      <c r="G224" s="46">
        <f t="shared" si="12"/>
        <v>0</v>
      </c>
    </row>
    <row r="225" spans="2:7" s="24" customFormat="1" hidden="1" x14ac:dyDescent="0.25">
      <c r="B225" s="82" t="s">
        <v>34</v>
      </c>
      <c r="C225" s="12">
        <v>0</v>
      </c>
      <c r="D225" s="11"/>
      <c r="E225" s="13"/>
      <c r="F225" s="14">
        <v>0</v>
      </c>
      <c r="G225" s="46">
        <f t="shared" si="12"/>
        <v>0</v>
      </c>
    </row>
    <row r="226" spans="2:7" s="24" customFormat="1" hidden="1" x14ac:dyDescent="0.25">
      <c r="B226" s="82" t="s">
        <v>35</v>
      </c>
      <c r="C226" s="12">
        <v>0</v>
      </c>
      <c r="D226" s="11"/>
      <c r="E226" s="13"/>
      <c r="F226" s="14">
        <v>0</v>
      </c>
      <c r="G226" s="46">
        <f t="shared" si="12"/>
        <v>0</v>
      </c>
    </row>
    <row r="227" spans="2:7" s="24" customFormat="1" hidden="1" x14ac:dyDescent="0.25">
      <c r="B227" s="82" t="s">
        <v>36</v>
      </c>
      <c r="C227" s="12">
        <v>0</v>
      </c>
      <c r="D227" s="11"/>
      <c r="E227" s="13"/>
      <c r="F227" s="14">
        <v>0</v>
      </c>
      <c r="G227" s="46">
        <f t="shared" si="12"/>
        <v>0</v>
      </c>
    </row>
    <row r="228" spans="2:7" s="24" customFormat="1" hidden="1" x14ac:dyDescent="0.25">
      <c r="B228" s="82" t="s">
        <v>37</v>
      </c>
      <c r="C228" s="12">
        <v>0</v>
      </c>
      <c r="D228" s="11"/>
      <c r="E228" s="13"/>
      <c r="F228" s="14">
        <v>0</v>
      </c>
      <c r="G228" s="46">
        <f t="shared" si="12"/>
        <v>0</v>
      </c>
    </row>
    <row r="229" spans="2:7" s="24" customFormat="1" hidden="1" x14ac:dyDescent="0.25">
      <c r="B229" s="82" t="s">
        <v>38</v>
      </c>
      <c r="C229" s="12">
        <v>0</v>
      </c>
      <c r="D229" s="11"/>
      <c r="E229" s="13"/>
      <c r="F229" s="14">
        <v>0</v>
      </c>
      <c r="G229" s="46">
        <f t="shared" si="12"/>
        <v>0</v>
      </c>
    </row>
    <row r="230" spans="2:7" s="24" customFormat="1" hidden="1" x14ac:dyDescent="0.25">
      <c r="B230" s="82" t="s">
        <v>39</v>
      </c>
      <c r="C230" s="12">
        <v>0</v>
      </c>
      <c r="D230" s="11"/>
      <c r="E230" s="13"/>
      <c r="F230" s="14">
        <v>0</v>
      </c>
      <c r="G230" s="46">
        <f t="shared" si="12"/>
        <v>0</v>
      </c>
    </row>
    <row r="231" spans="2:7" s="24" customFormat="1" hidden="1" x14ac:dyDescent="0.25">
      <c r="B231" s="84" t="s">
        <v>42</v>
      </c>
      <c r="C231" s="12"/>
      <c r="D231" s="18"/>
      <c r="E231" s="19"/>
      <c r="F231" s="20"/>
      <c r="G231" s="45">
        <f>SUM(G232:G235)</f>
        <v>0</v>
      </c>
    </row>
    <row r="232" spans="2:7" s="24" customFormat="1" hidden="1" x14ac:dyDescent="0.25">
      <c r="B232" s="82" t="s">
        <v>43</v>
      </c>
      <c r="C232" s="12">
        <v>0</v>
      </c>
      <c r="D232" s="11"/>
      <c r="E232" s="13"/>
      <c r="F232" s="14">
        <v>0</v>
      </c>
      <c r="G232" s="46">
        <f t="shared" ref="G232:G235" si="13">+C232*F232</f>
        <v>0</v>
      </c>
    </row>
    <row r="233" spans="2:7" s="24" customFormat="1" hidden="1" x14ac:dyDescent="0.25">
      <c r="B233" s="82" t="s">
        <v>44</v>
      </c>
      <c r="C233" s="12">
        <v>0</v>
      </c>
      <c r="D233" s="11"/>
      <c r="E233" s="13"/>
      <c r="F233" s="14">
        <v>0</v>
      </c>
      <c r="G233" s="46">
        <f t="shared" si="13"/>
        <v>0</v>
      </c>
    </row>
    <row r="234" spans="2:7" s="24" customFormat="1" hidden="1" x14ac:dyDescent="0.25">
      <c r="B234" s="82" t="s">
        <v>45</v>
      </c>
      <c r="C234" s="12">
        <v>0</v>
      </c>
      <c r="D234" s="11"/>
      <c r="E234" s="13"/>
      <c r="F234" s="14">
        <v>0</v>
      </c>
      <c r="G234" s="46">
        <f t="shared" si="13"/>
        <v>0</v>
      </c>
    </row>
    <row r="235" spans="2:7" s="24" customFormat="1" hidden="1" x14ac:dyDescent="0.25">
      <c r="B235" s="82" t="s">
        <v>46</v>
      </c>
      <c r="C235" s="12">
        <v>0</v>
      </c>
      <c r="D235" s="11"/>
      <c r="E235" s="13"/>
      <c r="F235" s="14">
        <v>0</v>
      </c>
      <c r="G235" s="46">
        <f t="shared" si="13"/>
        <v>0</v>
      </c>
    </row>
    <row r="236" spans="2:7" s="24" customFormat="1" x14ac:dyDescent="0.25">
      <c r="B236" s="81" t="s">
        <v>47</v>
      </c>
      <c r="C236" s="60"/>
      <c r="D236" s="61"/>
      <c r="E236" s="62"/>
      <c r="F236" s="63"/>
      <c r="G236" s="64">
        <f>SUM(G237:G252)</f>
        <v>67350.8</v>
      </c>
    </row>
    <row r="237" spans="2:7" s="24" customFormat="1" ht="30" x14ac:dyDescent="0.25">
      <c r="B237" s="83" t="s">
        <v>48</v>
      </c>
      <c r="C237" s="70">
        <v>1</v>
      </c>
      <c r="D237" s="71" t="s">
        <v>84</v>
      </c>
      <c r="E237" s="37" t="s">
        <v>85</v>
      </c>
      <c r="F237" s="72">
        <v>36750</v>
      </c>
      <c r="G237" s="46">
        <f t="shared" ref="G237:G252" si="14">+C237*F237</f>
        <v>36750</v>
      </c>
    </row>
    <row r="238" spans="2:7" s="24" customFormat="1" ht="30" x14ac:dyDescent="0.25">
      <c r="B238" s="83" t="s">
        <v>48</v>
      </c>
      <c r="C238" s="70">
        <v>1</v>
      </c>
      <c r="D238" s="71" t="s">
        <v>86</v>
      </c>
      <c r="E238" s="37" t="s">
        <v>87</v>
      </c>
      <c r="F238" s="72">
        <v>6356.8</v>
      </c>
      <c r="G238" s="46">
        <f t="shared" si="14"/>
        <v>6356.8</v>
      </c>
    </row>
    <row r="239" spans="2:7" s="24" customFormat="1" x14ac:dyDescent="0.25">
      <c r="B239" s="83" t="s">
        <v>48</v>
      </c>
      <c r="C239" s="70">
        <v>2</v>
      </c>
      <c r="D239" s="71" t="s">
        <v>228</v>
      </c>
      <c r="E239" s="37" t="s">
        <v>229</v>
      </c>
      <c r="F239" s="72">
        <v>1044</v>
      </c>
      <c r="G239" s="46">
        <f t="shared" si="14"/>
        <v>2088</v>
      </c>
    </row>
    <row r="240" spans="2:7" s="24" customFormat="1" hidden="1" x14ac:dyDescent="0.25">
      <c r="B240" s="83" t="s">
        <v>49</v>
      </c>
      <c r="C240" s="70">
        <v>0</v>
      </c>
      <c r="D240" s="71"/>
      <c r="E240" s="37"/>
      <c r="F240" s="72">
        <v>0</v>
      </c>
      <c r="G240" s="46">
        <f t="shared" si="14"/>
        <v>0</v>
      </c>
    </row>
    <row r="241" spans="2:7" s="24" customFormat="1" hidden="1" x14ac:dyDescent="0.25">
      <c r="B241" s="83" t="s">
        <v>50</v>
      </c>
      <c r="C241" s="70">
        <v>0</v>
      </c>
      <c r="D241" s="71"/>
      <c r="E241" s="37"/>
      <c r="F241" s="72">
        <v>0</v>
      </c>
      <c r="G241" s="46">
        <f t="shared" si="14"/>
        <v>0</v>
      </c>
    </row>
    <row r="242" spans="2:7" s="24" customFormat="1" hidden="1" x14ac:dyDescent="0.25">
      <c r="B242" s="83" t="s">
        <v>51</v>
      </c>
      <c r="C242" s="70">
        <v>0</v>
      </c>
      <c r="D242" s="71"/>
      <c r="E242" s="37"/>
      <c r="F242" s="72">
        <v>0</v>
      </c>
      <c r="G242" s="46">
        <f t="shared" si="14"/>
        <v>0</v>
      </c>
    </row>
    <row r="243" spans="2:7" s="24" customFormat="1" hidden="1" x14ac:dyDescent="0.25">
      <c r="B243" s="83" t="s">
        <v>52</v>
      </c>
      <c r="C243" s="70">
        <v>0</v>
      </c>
      <c r="D243" s="71"/>
      <c r="E243" s="37"/>
      <c r="F243" s="72">
        <v>0</v>
      </c>
      <c r="G243" s="46">
        <f t="shared" si="14"/>
        <v>0</v>
      </c>
    </row>
    <row r="244" spans="2:7" s="24" customFormat="1" hidden="1" x14ac:dyDescent="0.25">
      <c r="B244" s="83" t="s">
        <v>53</v>
      </c>
      <c r="C244" s="70">
        <v>0</v>
      </c>
      <c r="D244" s="71"/>
      <c r="E244" s="37"/>
      <c r="F244" s="72">
        <v>0</v>
      </c>
      <c r="G244" s="46">
        <f t="shared" si="14"/>
        <v>0</v>
      </c>
    </row>
    <row r="245" spans="2:7" s="24" customFormat="1" ht="60" x14ac:dyDescent="0.25">
      <c r="B245" s="83" t="s">
        <v>54</v>
      </c>
      <c r="C245" s="70">
        <v>22</v>
      </c>
      <c r="D245" s="71" t="s">
        <v>160</v>
      </c>
      <c r="E245" s="37" t="s">
        <v>162</v>
      </c>
      <c r="F245" s="72">
        <f>450*1.16</f>
        <v>522</v>
      </c>
      <c r="G245" s="46">
        <f t="shared" si="14"/>
        <v>11484</v>
      </c>
    </row>
    <row r="246" spans="2:7" s="24" customFormat="1" ht="30" x14ac:dyDescent="0.25">
      <c r="B246" s="83" t="s">
        <v>54</v>
      </c>
      <c r="C246" s="70">
        <v>22</v>
      </c>
      <c r="D246" s="71" t="s">
        <v>161</v>
      </c>
      <c r="E246" s="37" t="s">
        <v>162</v>
      </c>
      <c r="F246" s="72">
        <f>200*1.16</f>
        <v>231.99999999999997</v>
      </c>
      <c r="G246" s="46">
        <f t="shared" si="14"/>
        <v>5103.9999999999991</v>
      </c>
    </row>
    <row r="247" spans="2:7" s="24" customFormat="1" ht="60" x14ac:dyDescent="0.25">
      <c r="B247" s="83" t="s">
        <v>54</v>
      </c>
      <c r="C247" s="70">
        <v>5</v>
      </c>
      <c r="D247" s="71" t="s">
        <v>160</v>
      </c>
      <c r="E247" s="37" t="s">
        <v>209</v>
      </c>
      <c r="F247" s="72">
        <v>696</v>
      </c>
      <c r="G247" s="46">
        <f>+C247*F247</f>
        <v>3480</v>
      </c>
    </row>
    <row r="248" spans="2:7" s="24" customFormat="1" ht="60" x14ac:dyDescent="0.25">
      <c r="B248" s="83" t="s">
        <v>54</v>
      </c>
      <c r="C248" s="70">
        <v>1</v>
      </c>
      <c r="D248" s="71" t="s">
        <v>160</v>
      </c>
      <c r="E248" s="37" t="s">
        <v>170</v>
      </c>
      <c r="F248" s="72">
        <v>696</v>
      </c>
      <c r="G248" s="46">
        <f>+C248*F248</f>
        <v>696</v>
      </c>
    </row>
    <row r="249" spans="2:7" s="24" customFormat="1" ht="60" x14ac:dyDescent="0.25">
      <c r="B249" s="83" t="s">
        <v>54</v>
      </c>
      <c r="C249" s="70">
        <v>2</v>
      </c>
      <c r="D249" s="71" t="s">
        <v>160</v>
      </c>
      <c r="E249" s="37" t="s">
        <v>170</v>
      </c>
      <c r="F249" s="72">
        <v>696</v>
      </c>
      <c r="G249" s="46">
        <f t="shared" si="14"/>
        <v>1392</v>
      </c>
    </row>
    <row r="250" spans="2:7" s="24" customFormat="1" ht="15.75" hidden="1" thickTop="1" x14ac:dyDescent="0.25">
      <c r="B250" s="85"/>
      <c r="C250" s="65"/>
      <c r="D250" s="66"/>
      <c r="E250" s="67"/>
      <c r="F250" s="68"/>
      <c r="G250" s="69"/>
    </row>
    <row r="251" spans="2:7" s="24" customFormat="1" hidden="1" x14ac:dyDescent="0.25">
      <c r="B251" s="86" t="s">
        <v>55</v>
      </c>
      <c r="C251" s="40">
        <v>0</v>
      </c>
      <c r="D251" s="41"/>
      <c r="E251" s="42"/>
      <c r="F251" s="43">
        <v>0</v>
      </c>
      <c r="G251" s="44">
        <f t="shared" si="14"/>
        <v>0</v>
      </c>
    </row>
    <row r="252" spans="2:7" s="24" customFormat="1" ht="15.75" hidden="1" thickBot="1" x14ac:dyDescent="0.3">
      <c r="B252" s="87" t="s">
        <v>56</v>
      </c>
      <c r="C252" s="25">
        <v>0</v>
      </c>
      <c r="D252" s="26"/>
      <c r="E252" s="27"/>
      <c r="F252" s="28">
        <v>0</v>
      </c>
      <c r="G252" s="29">
        <f t="shared" si="14"/>
        <v>0</v>
      </c>
    </row>
    <row r="253" spans="2:7" s="24" customFormat="1" x14ac:dyDescent="0.25">
      <c r="B253" s="31"/>
      <c r="C253" s="23"/>
      <c r="D253" s="30"/>
      <c r="E253" s="31"/>
    </row>
  </sheetData>
  <mergeCells count="15">
    <mergeCell ref="B2:G2"/>
    <mergeCell ref="B4:G4"/>
    <mergeCell ref="B17:G17"/>
    <mergeCell ref="B6:G6"/>
    <mergeCell ref="B7:G7"/>
    <mergeCell ref="B8:G8"/>
    <mergeCell ref="B9:G9"/>
    <mergeCell ref="B10:G10"/>
    <mergeCell ref="B11:G11"/>
    <mergeCell ref="B14:G14"/>
    <mergeCell ref="B12:G12"/>
    <mergeCell ref="B13:G13"/>
    <mergeCell ref="B15:G15"/>
    <mergeCell ref="B16:G16"/>
    <mergeCell ref="B3:G3"/>
  </mergeCells>
  <phoneticPr fontId="12" type="noConversion"/>
  <pageMargins left="0.70866141732283472" right="0.70866141732283472" top="0.74803149606299213" bottom="0.74803149606299213" header="0.31496062992125984" footer="0.31496062992125984"/>
  <pageSetup scale="50" orientation="portrait" r:id="rId1"/>
  <headerFooter>
    <oddFooter>&amp;C&amp;P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FPIBM</vt:lpstr>
      <vt:lpstr>FPIBM!Títulos_a_imprimir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2021-02-04T19:58:35Z</dcterms:modified>
</cp:coreProperties>
</file>